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605" windowHeight="11385" tabRatio="999" firstSheet="4" activeTab="15"/>
  </bookViews>
  <sheets>
    <sheet name="Tabela Nr 1" sheetId="58" r:id="rId1"/>
    <sheet name="Tabela Nr 2" sheetId="59" r:id="rId2"/>
    <sheet name="Tabela Nr 3" sheetId="70" r:id="rId3"/>
    <sheet name="Załącznik Nr 1" sheetId="37" r:id="rId4"/>
    <sheet name="Załącznik Nr 2" sheetId="54" r:id="rId5"/>
    <sheet name="Załącznik Nr 3" sheetId="55" r:id="rId6"/>
    <sheet name="Załącznik Nr 4" sheetId="60" r:id="rId7"/>
    <sheet name="Załącznik Nr 5" sheetId="41" r:id="rId8"/>
    <sheet name="Załącznik Nr 6" sheetId="62" r:id="rId9"/>
    <sheet name="Załącznik Nr 7" sheetId="63" r:id="rId10"/>
    <sheet name=" Załącznik Nr 8" sheetId="64" r:id="rId11"/>
    <sheet name="Załącznik Nr 9" sheetId="65" r:id="rId12"/>
    <sheet name="Zał Nr 10 adm.rząd.doch." sheetId="66" r:id="rId13"/>
    <sheet name="Zał Nr 10 adm.rzad.wyd." sheetId="67" r:id="rId14"/>
    <sheet name="Zał Nr 11" sheetId="68" r:id="rId15"/>
    <sheet name="Załącznik Nr 12" sheetId="69" r:id="rId16"/>
  </sheets>
  <definedNames>
    <definedName name="_xlnm.Print_Area" localSheetId="10">' Załącznik Nr 8'!$A$1:$G$16</definedName>
    <definedName name="_xlnm.Print_Area" localSheetId="0">'Tabela Nr 1'!$A$1:$I$478</definedName>
    <definedName name="_xlnm.Print_Area" localSheetId="1">'Tabela Nr 2'!$A$1:$G$2074</definedName>
    <definedName name="_xlnm.Print_Area" localSheetId="2">'Tabela Nr 3'!$A$1:$J$1547</definedName>
    <definedName name="_xlnm.Print_Area" localSheetId="13">'Zał Nr 10 adm.rzad.wyd.'!$A$1:$L$87</definedName>
    <definedName name="_xlnm.Print_Area" localSheetId="12">'Zał Nr 10 adm.rząd.doch.'!$A$1:$E$44</definedName>
    <definedName name="_xlnm.Print_Area" localSheetId="14">'Zał Nr 11'!$A$1:$G$24</definedName>
    <definedName name="_xlnm.Print_Area" localSheetId="3">'Załącznik Nr 1'!$A$1:$F$51</definedName>
    <definedName name="_xlnm.Print_Area" localSheetId="15">'Załącznik Nr 12'!$A$1:$D$24</definedName>
    <definedName name="_xlnm.Print_Area" localSheetId="4">'Załącznik Nr 2'!$A$1:$I$49</definedName>
    <definedName name="_xlnm.Print_Area" localSheetId="5">'Załącznik Nr 3'!$A$1:$H$24</definedName>
    <definedName name="_xlnm.Print_Area" localSheetId="6">'Załącznik Nr 4'!$A$1:$H$7</definedName>
    <definedName name="_xlnm.Print_Area" localSheetId="7">'Załącznik Nr 5'!$A$1:$I$18</definedName>
    <definedName name="_xlnm.Print_Area" localSheetId="8">'Załącznik Nr 6'!$A$1:$I$9</definedName>
    <definedName name="_xlnm.Print_Area" localSheetId="9">'Załącznik Nr 7'!$A$1:$K$24</definedName>
    <definedName name="_xlnm.Print_Area" localSheetId="11">'Załącznik Nr 9'!$A$1:$G$35</definedName>
    <definedName name="_xlnm.Print_Titles" localSheetId="0">'Tabela Nr 1'!$7:$9</definedName>
    <definedName name="_xlnm.Print_Titles" localSheetId="1">'Tabela Nr 2'!$9:$10</definedName>
    <definedName name="_xlnm.Print_Titles" localSheetId="2">'Tabela Nr 3'!$5:$6</definedName>
    <definedName name="_xlnm.Print_Titles" localSheetId="13">'Zał Nr 10 adm.rzad.wyd.'!$1:$5</definedName>
    <definedName name="_xlnm.Print_Titles" localSheetId="4">'Załącznik Nr 2'!$4:$6</definedName>
    <definedName name="_xlnm.Print_Titles" localSheetId="5">'Załącznik Nr 3'!$3:$4</definedName>
    <definedName name="_xlnm.Print_Titles" localSheetId="7">'Załącznik Nr 5'!$4:$6</definedName>
  </definedNames>
  <calcPr calcId="152511"/>
</workbook>
</file>

<file path=xl/calcChain.xml><?xml version="1.0" encoding="utf-8"?>
<calcChain xmlns="http://schemas.openxmlformats.org/spreadsheetml/2006/main">
  <c r="I1546" i="70" l="1"/>
  <c r="G1546" i="70"/>
  <c r="H1545" i="70"/>
  <c r="F1545" i="70"/>
  <c r="J1544" i="70"/>
  <c r="H1544" i="70"/>
  <c r="G1544" i="70"/>
  <c r="F1543" i="70"/>
  <c r="F1542" i="70"/>
  <c r="F1541" i="70"/>
  <c r="J1540" i="70"/>
  <c r="I1540" i="70"/>
  <c r="I1537" i="70" s="1"/>
  <c r="H1540" i="70"/>
  <c r="G1540" i="70"/>
  <c r="F1539" i="70"/>
  <c r="F1538" i="70" s="1"/>
  <c r="J1538" i="70"/>
  <c r="I1538" i="70"/>
  <c r="H1538" i="70"/>
  <c r="G1538" i="70"/>
  <c r="G1537" i="70" s="1"/>
  <c r="G1536" i="70" s="1"/>
  <c r="G1513" i="70" s="1"/>
  <c r="J1537" i="70"/>
  <c r="J1536" i="70" s="1"/>
  <c r="J1513" i="70" s="1"/>
  <c r="H1537" i="70"/>
  <c r="H1536" i="70" s="1"/>
  <c r="I1535" i="70"/>
  <c r="G1535" i="70"/>
  <c r="H1534" i="70"/>
  <c r="F1534" i="70"/>
  <c r="J1533" i="70"/>
  <c r="H1533" i="70"/>
  <c r="G1533" i="70"/>
  <c r="F1532" i="70"/>
  <c r="F1531" i="70"/>
  <c r="F1530" i="70"/>
  <c r="F1529" i="70"/>
  <c r="F1528" i="70"/>
  <c r="F1527" i="70"/>
  <c r="J1526" i="70"/>
  <c r="J1516" i="70" s="1"/>
  <c r="I1526" i="70"/>
  <c r="H1526" i="70"/>
  <c r="H1516" i="70" s="1"/>
  <c r="G1526" i="70"/>
  <c r="F1526" i="70"/>
  <c r="F1525" i="70"/>
  <c r="F1524" i="70"/>
  <c r="F1523" i="70"/>
  <c r="F1522" i="70"/>
  <c r="F1521" i="70"/>
  <c r="F1520" i="70"/>
  <c r="F1519" i="70"/>
  <c r="F1518" i="70"/>
  <c r="F1517" i="70" s="1"/>
  <c r="J1517" i="70"/>
  <c r="I1517" i="70"/>
  <c r="H1517" i="70"/>
  <c r="G1517" i="70"/>
  <c r="G1516" i="70" s="1"/>
  <c r="G1515" i="70" s="1"/>
  <c r="I1516" i="70"/>
  <c r="F1516" i="70"/>
  <c r="J1515" i="70"/>
  <c r="F1512" i="70"/>
  <c r="F1511" i="70"/>
  <c r="F1510" i="70" s="1"/>
  <c r="J1510" i="70"/>
  <c r="I1510" i="70"/>
  <c r="H1510" i="70"/>
  <c r="G1510" i="70"/>
  <c r="F1509" i="70"/>
  <c r="F1508" i="70"/>
  <c r="F1507" i="70"/>
  <c r="F1506" i="70"/>
  <c r="F1505" i="70"/>
  <c r="F1504" i="70"/>
  <c r="F1503" i="70"/>
  <c r="F1502" i="70"/>
  <c r="F1501" i="70"/>
  <c r="F1500" i="70"/>
  <c r="F1499" i="70"/>
  <c r="F1498" i="70"/>
  <c r="J1497" i="70"/>
  <c r="I1497" i="70"/>
  <c r="H1497" i="70"/>
  <c r="G1497" i="70"/>
  <c r="F1497" i="70"/>
  <c r="F1496" i="70"/>
  <c r="F1495" i="70"/>
  <c r="F1494" i="70"/>
  <c r="F1493" i="70"/>
  <c r="F1492" i="70"/>
  <c r="F1491" i="70"/>
  <c r="F1490" i="70"/>
  <c r="F1489" i="70"/>
  <c r="F1488" i="70" s="1"/>
  <c r="J1488" i="70"/>
  <c r="I1488" i="70"/>
  <c r="H1488" i="70"/>
  <c r="G1488" i="70"/>
  <c r="F1487" i="70"/>
  <c r="F1486" i="70"/>
  <c r="F1485" i="70" s="1"/>
  <c r="J1485" i="70"/>
  <c r="I1485" i="70"/>
  <c r="H1485" i="70"/>
  <c r="G1485" i="70"/>
  <c r="G1484" i="70" s="1"/>
  <c r="I1484" i="70"/>
  <c r="I1483" i="70" s="1"/>
  <c r="H1484" i="70"/>
  <c r="H1483" i="70"/>
  <c r="F1482" i="70"/>
  <c r="F1481" i="70"/>
  <c r="F1480" i="70" s="1"/>
  <c r="J1480" i="70"/>
  <c r="I1480" i="70"/>
  <c r="H1480" i="70"/>
  <c r="G1480" i="70"/>
  <c r="F1479" i="70"/>
  <c r="F1478" i="70"/>
  <c r="F1477" i="70"/>
  <c r="F1476" i="70"/>
  <c r="F1475" i="70"/>
  <c r="F1474" i="70"/>
  <c r="F1473" i="70"/>
  <c r="F1472" i="70"/>
  <c r="F1471" i="70"/>
  <c r="F1470" i="70"/>
  <c r="F1469" i="70" s="1"/>
  <c r="J1469" i="70"/>
  <c r="I1469" i="70"/>
  <c r="H1469" i="70"/>
  <c r="G1469" i="70"/>
  <c r="F1468" i="70"/>
  <c r="F1467" i="70"/>
  <c r="F1466" i="70"/>
  <c r="F1465" i="70"/>
  <c r="F1464" i="70"/>
  <c r="F1463" i="70"/>
  <c r="F1462" i="70"/>
  <c r="F1461" i="70"/>
  <c r="J1460" i="70"/>
  <c r="I1460" i="70"/>
  <c r="I1456" i="70" s="1"/>
  <c r="H1460" i="70"/>
  <c r="G1460" i="70"/>
  <c r="F1459" i="70"/>
  <c r="F1458" i="70"/>
  <c r="J1457" i="70"/>
  <c r="J1456" i="70" s="1"/>
  <c r="J1455" i="70" s="1"/>
  <c r="J1425" i="70" s="1"/>
  <c r="I1457" i="70"/>
  <c r="H1457" i="70"/>
  <c r="G1457" i="70"/>
  <c r="F1457" i="70"/>
  <c r="H1456" i="70"/>
  <c r="H1455" i="70"/>
  <c r="H1425" i="70" s="1"/>
  <c r="F1454" i="70"/>
  <c r="F1453" i="70"/>
  <c r="J1452" i="70"/>
  <c r="I1452" i="70"/>
  <c r="H1452" i="70"/>
  <c r="G1452" i="70"/>
  <c r="F1451" i="70"/>
  <c r="F1450" i="70"/>
  <c r="F1449" i="70"/>
  <c r="F1448" i="70"/>
  <c r="F1447" i="70"/>
  <c r="F1446" i="70"/>
  <c r="F1445" i="70"/>
  <c r="F1444" i="70"/>
  <c r="F1443" i="70"/>
  <c r="F1442" i="70"/>
  <c r="J1441" i="70"/>
  <c r="I1441" i="70"/>
  <c r="H1441" i="70"/>
  <c r="G1441" i="70"/>
  <c r="F1440" i="70"/>
  <c r="F1439" i="70"/>
  <c r="F1438" i="70"/>
  <c r="F1437" i="70"/>
  <c r="F1436" i="70"/>
  <c r="F1435" i="70"/>
  <c r="F1434" i="70"/>
  <c r="F1433" i="70"/>
  <c r="J1432" i="70"/>
  <c r="I1432" i="70"/>
  <c r="I1428" i="70" s="1"/>
  <c r="I1427" i="70" s="1"/>
  <c r="H1432" i="70"/>
  <c r="H1428" i="70" s="1"/>
  <c r="H1427" i="70" s="1"/>
  <c r="G1432" i="70"/>
  <c r="F1431" i="70"/>
  <c r="F1430" i="70"/>
  <c r="J1429" i="70"/>
  <c r="J1428" i="70" s="1"/>
  <c r="J1427" i="70" s="1"/>
  <c r="I1429" i="70"/>
  <c r="H1429" i="70"/>
  <c r="G1429" i="70"/>
  <c r="G1428" i="70" s="1"/>
  <c r="G1427" i="70" s="1"/>
  <c r="F1429" i="70"/>
  <c r="F1424" i="70"/>
  <c r="F1422" i="70" s="1"/>
  <c r="F1423" i="70"/>
  <c r="J1422" i="70"/>
  <c r="I1422" i="70"/>
  <c r="H1422" i="70"/>
  <c r="G1422" i="70"/>
  <c r="F1421" i="70"/>
  <c r="F1420" i="70"/>
  <c r="F1418" i="70" s="1"/>
  <c r="F1419" i="70"/>
  <c r="J1418" i="70"/>
  <c r="I1418" i="70"/>
  <c r="I1413" i="70" s="1"/>
  <c r="H1418" i="70"/>
  <c r="G1418" i="70"/>
  <c r="F1417" i="70"/>
  <c r="F1416" i="70"/>
  <c r="F1414" i="70" s="1"/>
  <c r="F1415" i="70"/>
  <c r="J1414" i="70"/>
  <c r="I1414" i="70"/>
  <c r="H1414" i="70"/>
  <c r="G1414" i="70"/>
  <c r="J1413" i="70"/>
  <c r="G1413" i="70"/>
  <c r="G1412" i="70" s="1"/>
  <c r="G1410" i="70" s="1"/>
  <c r="J1412" i="70"/>
  <c r="J1410" i="70" s="1"/>
  <c r="F1409" i="70"/>
  <c r="F1408" i="70"/>
  <c r="J1407" i="70"/>
  <c r="I1407" i="70"/>
  <c r="H1407" i="70"/>
  <c r="G1407" i="70"/>
  <c r="F1407" i="70"/>
  <c r="F1406" i="70"/>
  <c r="F1405" i="70"/>
  <c r="F1404" i="70"/>
  <c r="F1403" i="70"/>
  <c r="F1402" i="70"/>
  <c r="F1401" i="70"/>
  <c r="F1400" i="70"/>
  <c r="F1399" i="70"/>
  <c r="F1396" i="70" s="1"/>
  <c r="F1398" i="70"/>
  <c r="F1397" i="70"/>
  <c r="J1396" i="70"/>
  <c r="I1396" i="70"/>
  <c r="H1396" i="70"/>
  <c r="G1396" i="70"/>
  <c r="F1395" i="70"/>
  <c r="F1394" i="70"/>
  <c r="F1393" i="70"/>
  <c r="F1392" i="70"/>
  <c r="F1391" i="70"/>
  <c r="F1390" i="70"/>
  <c r="F1389" i="70"/>
  <c r="F1388" i="70"/>
  <c r="J1387" i="70"/>
  <c r="J1384" i="70" s="1"/>
  <c r="J1383" i="70" s="1"/>
  <c r="I1387" i="70"/>
  <c r="H1387" i="70"/>
  <c r="G1387" i="70"/>
  <c r="G1384" i="70" s="1"/>
  <c r="G1383" i="70" s="1"/>
  <c r="F1387" i="70"/>
  <c r="F1386" i="70"/>
  <c r="J1385" i="70"/>
  <c r="I1385" i="70"/>
  <c r="H1385" i="70"/>
  <c r="H1384" i="70" s="1"/>
  <c r="H1383" i="70" s="1"/>
  <c r="G1385" i="70"/>
  <c r="F1385" i="70"/>
  <c r="I1384" i="70"/>
  <c r="I1383" i="70" s="1"/>
  <c r="F1382" i="70"/>
  <c r="F1381" i="70"/>
  <c r="J1380" i="70"/>
  <c r="I1380" i="70"/>
  <c r="H1380" i="70"/>
  <c r="G1380" i="70"/>
  <c r="F1380" i="70"/>
  <c r="F1379" i="70"/>
  <c r="F1378" i="70"/>
  <c r="F1377" i="70"/>
  <c r="F1376" i="70"/>
  <c r="F1375" i="70"/>
  <c r="F1374" i="70"/>
  <c r="F1373" i="70"/>
  <c r="F1372" i="70"/>
  <c r="F1371" i="70"/>
  <c r="F1370" i="70"/>
  <c r="F1369" i="70"/>
  <c r="F1368" i="70"/>
  <c r="F1367" i="70"/>
  <c r="F1366" i="70"/>
  <c r="F1365" i="70"/>
  <c r="F1364" i="70"/>
  <c r="F1363" i="70"/>
  <c r="F1362" i="70"/>
  <c r="F1361" i="70"/>
  <c r="F1360" i="70"/>
  <c r="F1359" i="70"/>
  <c r="F1358" i="70"/>
  <c r="F1357" i="70"/>
  <c r="F1356" i="70"/>
  <c r="F1355" i="70" s="1"/>
  <c r="J1355" i="70"/>
  <c r="I1355" i="70"/>
  <c r="H1355" i="70"/>
  <c r="G1355" i="70"/>
  <c r="F1354" i="70"/>
  <c r="F1353" i="70"/>
  <c r="F1352" i="70"/>
  <c r="F1351" i="70"/>
  <c r="F1350" i="70"/>
  <c r="F1349" i="70"/>
  <c r="F1348" i="70"/>
  <c r="F1347" i="70"/>
  <c r="F1346" i="70"/>
  <c r="F1345" i="70"/>
  <c r="J1344" i="70"/>
  <c r="I1344" i="70"/>
  <c r="H1344" i="70"/>
  <c r="G1344" i="70"/>
  <c r="F1344" i="70"/>
  <c r="F1343" i="70"/>
  <c r="F1342" i="70"/>
  <c r="J1341" i="70"/>
  <c r="I1341" i="70"/>
  <c r="I1340" i="70" s="1"/>
  <c r="I1339" i="70" s="1"/>
  <c r="H1341" i="70"/>
  <c r="G1341" i="70"/>
  <c r="F1341" i="70"/>
  <c r="J1340" i="70"/>
  <c r="J1339" i="70" s="1"/>
  <c r="G1340" i="70"/>
  <c r="G1339" i="70" s="1"/>
  <c r="F1340" i="70"/>
  <c r="F1339" i="70"/>
  <c r="F1338" i="70"/>
  <c r="F1337" i="70"/>
  <c r="J1336" i="70"/>
  <c r="I1336" i="70"/>
  <c r="H1336" i="70"/>
  <c r="G1336" i="70"/>
  <c r="F1336" i="70"/>
  <c r="F1335" i="70"/>
  <c r="F1334" i="70"/>
  <c r="F1333" i="70"/>
  <c r="F1332" i="70"/>
  <c r="F1331" i="70"/>
  <c r="F1329" i="70" s="1"/>
  <c r="F1330" i="70"/>
  <c r="J1329" i="70"/>
  <c r="I1329" i="70"/>
  <c r="H1329" i="70"/>
  <c r="G1329" i="70"/>
  <c r="F1328" i="70"/>
  <c r="F1327" i="70"/>
  <c r="F1326" i="70"/>
  <c r="F1325" i="70"/>
  <c r="F1324" i="70"/>
  <c r="F1323" i="70"/>
  <c r="F1320" i="70" s="1"/>
  <c r="F1322" i="70"/>
  <c r="F1321" i="70"/>
  <c r="J1320" i="70"/>
  <c r="I1320" i="70"/>
  <c r="I1317" i="70" s="1"/>
  <c r="H1320" i="70"/>
  <c r="G1320" i="70"/>
  <c r="F1319" i="70"/>
  <c r="F1318" i="70" s="1"/>
  <c r="J1318" i="70"/>
  <c r="I1318" i="70"/>
  <c r="H1318" i="70"/>
  <c r="G1318" i="70"/>
  <c r="G1317" i="70" s="1"/>
  <c r="J1317" i="70"/>
  <c r="J1316" i="70" s="1"/>
  <c r="H1317" i="70"/>
  <c r="H1316" i="70" s="1"/>
  <c r="G1316" i="70"/>
  <c r="F1315" i="70"/>
  <c r="F1314" i="70"/>
  <c r="J1313" i="70"/>
  <c r="I1313" i="70"/>
  <c r="H1313" i="70"/>
  <c r="G1313" i="70"/>
  <c r="F1313" i="70"/>
  <c r="F1312" i="70"/>
  <c r="F1311" i="70"/>
  <c r="J1310" i="70"/>
  <c r="I1310" i="70"/>
  <c r="H1310" i="70"/>
  <c r="G1310" i="70"/>
  <c r="F1309" i="70"/>
  <c r="F1308" i="70"/>
  <c r="F1307" i="70"/>
  <c r="F1306" i="70"/>
  <c r="F1305" i="70"/>
  <c r="F1304" i="70"/>
  <c r="F1303" i="70"/>
  <c r="F1302" i="70"/>
  <c r="F1301" i="70"/>
  <c r="J1300" i="70"/>
  <c r="J1297" i="70" s="1"/>
  <c r="J1296" i="70" s="1"/>
  <c r="J1272" i="70" s="1"/>
  <c r="I1300" i="70"/>
  <c r="H1300" i="70"/>
  <c r="G1300" i="70"/>
  <c r="F1300" i="70"/>
  <c r="F1299" i="70"/>
  <c r="F1298" i="70" s="1"/>
  <c r="J1298" i="70"/>
  <c r="I1298" i="70"/>
  <c r="H1298" i="70"/>
  <c r="H1297" i="70" s="1"/>
  <c r="H1296" i="70" s="1"/>
  <c r="G1298" i="70"/>
  <c r="G1297" i="70" s="1"/>
  <c r="G1296" i="70" s="1"/>
  <c r="F1295" i="70"/>
  <c r="F1293" i="70" s="1"/>
  <c r="F1294" i="70"/>
  <c r="J1293" i="70"/>
  <c r="I1293" i="70"/>
  <c r="H1293" i="70"/>
  <c r="G1293" i="70"/>
  <c r="F1292" i="70"/>
  <c r="F1291" i="70"/>
  <c r="F1290" i="70"/>
  <c r="F1289" i="70"/>
  <c r="F1288" i="70"/>
  <c r="F1287" i="70"/>
  <c r="F1286" i="70" s="1"/>
  <c r="J1286" i="70"/>
  <c r="I1286" i="70"/>
  <c r="H1286" i="70"/>
  <c r="G1286" i="70"/>
  <c r="G1275" i="70" s="1"/>
  <c r="G1274" i="70" s="1"/>
  <c r="F1285" i="70"/>
  <c r="F1284" i="70"/>
  <c r="F1283" i="70"/>
  <c r="F1282" i="70"/>
  <c r="F1281" i="70"/>
  <c r="F1280" i="70"/>
  <c r="F1279" i="70"/>
  <c r="F1276" i="70" s="1"/>
  <c r="F1278" i="70"/>
  <c r="F1277" i="70"/>
  <c r="J1276" i="70"/>
  <c r="I1276" i="70"/>
  <c r="I1275" i="70" s="1"/>
  <c r="I1274" i="70" s="1"/>
  <c r="H1276" i="70"/>
  <c r="G1276" i="70"/>
  <c r="J1275" i="70"/>
  <c r="J1274" i="70" s="1"/>
  <c r="H1275" i="70"/>
  <c r="F1275" i="70"/>
  <c r="F1271" i="70"/>
  <c r="F1270" i="70"/>
  <c r="F1269" i="70" s="1"/>
  <c r="J1269" i="70"/>
  <c r="I1269" i="70"/>
  <c r="H1269" i="70"/>
  <c r="G1269" i="70"/>
  <c r="F1268" i="70"/>
  <c r="F1267" i="70"/>
  <c r="F1266" i="70"/>
  <c r="F1265" i="70"/>
  <c r="F1264" i="70"/>
  <c r="F1263" i="70"/>
  <c r="F1262" i="70"/>
  <c r="F1261" i="70"/>
  <c r="F1260" i="70"/>
  <c r="F1259" i="70"/>
  <c r="F1258" i="70"/>
  <c r="F1257" i="70"/>
  <c r="F1256" i="70"/>
  <c r="F1255" i="70"/>
  <c r="F1254" i="70"/>
  <c r="F1253" i="70"/>
  <c r="F1252" i="70"/>
  <c r="F1251" i="70"/>
  <c r="F1250" i="70"/>
  <c r="F1249" i="70"/>
  <c r="F1248" i="70"/>
  <c r="F1247" i="70"/>
  <c r="F1246" i="70"/>
  <c r="F1245" i="70"/>
  <c r="F1244" i="70"/>
  <c r="F1242" i="70" s="1"/>
  <c r="F1243" i="70"/>
  <c r="J1242" i="70"/>
  <c r="I1242" i="70"/>
  <c r="H1242" i="70"/>
  <c r="G1242" i="70"/>
  <c r="F1241" i="70"/>
  <c r="F1240" i="70"/>
  <c r="F1239" i="70"/>
  <c r="F1238" i="70"/>
  <c r="F1237" i="70"/>
  <c r="F1236" i="70"/>
  <c r="F1235" i="70"/>
  <c r="F1234" i="70"/>
  <c r="F1233" i="70"/>
  <c r="F1232" i="70"/>
  <c r="F1231" i="70" s="1"/>
  <c r="J1231" i="70"/>
  <c r="I1231" i="70"/>
  <c r="H1231" i="70"/>
  <c r="G1231" i="70"/>
  <c r="G1227" i="70" s="1"/>
  <c r="G1226" i="70" s="1"/>
  <c r="F1230" i="70"/>
  <c r="F1229" i="70"/>
  <c r="J1228" i="70"/>
  <c r="J1227" i="70" s="1"/>
  <c r="J1226" i="70" s="1"/>
  <c r="I1228" i="70"/>
  <c r="H1228" i="70"/>
  <c r="G1228" i="70"/>
  <c r="F1228" i="70"/>
  <c r="I1227" i="70"/>
  <c r="I1226" i="70" s="1"/>
  <c r="F1225" i="70"/>
  <c r="F1224" i="70"/>
  <c r="J1223" i="70"/>
  <c r="I1223" i="70"/>
  <c r="H1223" i="70"/>
  <c r="G1223" i="70"/>
  <c r="F1223" i="70"/>
  <c r="F1222" i="70"/>
  <c r="F1221" i="70"/>
  <c r="F1220" i="70"/>
  <c r="F1219" i="70"/>
  <c r="F1218" i="70"/>
  <c r="F1217" i="70"/>
  <c r="F1216" i="70"/>
  <c r="F1215" i="70"/>
  <c r="F1214" i="70"/>
  <c r="F1213" i="70"/>
  <c r="F1212" i="70"/>
  <c r="F1211" i="70"/>
  <c r="F1210" i="70"/>
  <c r="F1209" i="70"/>
  <c r="F1208" i="70"/>
  <c r="F1207" i="70"/>
  <c r="F1206" i="70"/>
  <c r="F1205" i="70"/>
  <c r="F1204" i="70"/>
  <c r="F1203" i="70"/>
  <c r="F1202" i="70"/>
  <c r="F1201" i="70"/>
  <c r="F1200" i="70"/>
  <c r="F1199" i="70"/>
  <c r="F1198" i="70"/>
  <c r="F1197" i="70"/>
  <c r="F1196" i="70"/>
  <c r="F1195" i="70"/>
  <c r="F1194" i="70" s="1"/>
  <c r="J1194" i="70"/>
  <c r="I1194" i="70"/>
  <c r="H1194" i="70"/>
  <c r="G1194" i="70"/>
  <c r="F1193" i="70"/>
  <c r="F1192" i="70"/>
  <c r="F1191" i="70"/>
  <c r="F1190" i="70"/>
  <c r="F1189" i="70"/>
  <c r="F1188" i="70"/>
  <c r="F1187" i="70"/>
  <c r="F1186" i="70"/>
  <c r="F1185" i="70"/>
  <c r="F1184" i="70"/>
  <c r="J1183" i="70"/>
  <c r="I1183" i="70"/>
  <c r="H1183" i="70"/>
  <c r="G1183" i="70"/>
  <c r="F1183" i="70"/>
  <c r="F1182" i="70"/>
  <c r="F1181" i="70"/>
  <c r="J1180" i="70"/>
  <c r="I1180" i="70"/>
  <c r="I1179" i="70" s="1"/>
  <c r="I1178" i="70" s="1"/>
  <c r="H1180" i="70"/>
  <c r="G1180" i="70"/>
  <c r="F1180" i="70"/>
  <c r="J1179" i="70"/>
  <c r="J1178" i="70"/>
  <c r="F1177" i="70"/>
  <c r="F1176" i="70"/>
  <c r="F1175" i="70"/>
  <c r="F1174" i="70"/>
  <c r="F1173" i="70"/>
  <c r="F1172" i="70"/>
  <c r="F1170" i="70" s="1"/>
  <c r="F1171" i="70"/>
  <c r="J1170" i="70"/>
  <c r="I1170" i="70"/>
  <c r="H1170" i="70"/>
  <c r="H1152" i="70" s="1"/>
  <c r="G1170" i="70"/>
  <c r="F1169" i="70"/>
  <c r="F1168" i="70"/>
  <c r="F1167" i="70"/>
  <c r="F1166" i="70"/>
  <c r="F1165" i="70"/>
  <c r="F1164" i="70"/>
  <c r="F1163" i="70"/>
  <c r="F1162" i="70"/>
  <c r="F1161" i="70"/>
  <c r="F1160" i="70"/>
  <c r="F1159" i="70"/>
  <c r="F1158" i="70"/>
  <c r="F1157" i="70"/>
  <c r="F1156" i="70"/>
  <c r="F1155" i="70"/>
  <c r="F1154" i="70"/>
  <c r="J1153" i="70"/>
  <c r="I1153" i="70"/>
  <c r="H1153" i="70"/>
  <c r="G1153" i="70"/>
  <c r="G1152" i="70" s="1"/>
  <c r="J1152" i="70"/>
  <c r="I1152" i="70"/>
  <c r="F1151" i="70"/>
  <c r="F1150" i="70"/>
  <c r="F1149" i="70" s="1"/>
  <c r="J1149" i="70"/>
  <c r="I1149" i="70"/>
  <c r="I1144" i="70" s="1"/>
  <c r="I1142" i="70" s="1"/>
  <c r="H1149" i="70"/>
  <c r="G1149" i="70"/>
  <c r="F1148" i="70"/>
  <c r="F1147" i="70"/>
  <c r="F1146" i="70"/>
  <c r="J1145" i="70"/>
  <c r="I1145" i="70"/>
  <c r="H1145" i="70"/>
  <c r="H1144" i="70" s="1"/>
  <c r="G1145" i="70"/>
  <c r="J1144" i="70"/>
  <c r="F1141" i="70"/>
  <c r="F1140" i="70"/>
  <c r="F1139" i="70"/>
  <c r="J1138" i="70"/>
  <c r="I1138" i="70"/>
  <c r="H1138" i="70"/>
  <c r="G1138" i="70"/>
  <c r="F1138" i="70"/>
  <c r="F1137" i="70"/>
  <c r="F1136" i="70"/>
  <c r="F1135" i="70"/>
  <c r="J1134" i="70"/>
  <c r="J1130" i="70" s="1"/>
  <c r="J1129" i="70" s="1"/>
  <c r="J1127" i="70" s="1"/>
  <c r="I1134" i="70"/>
  <c r="H1134" i="70"/>
  <c r="G1134" i="70"/>
  <c r="G1130" i="70" s="1"/>
  <c r="G1129" i="70" s="1"/>
  <c r="G1127" i="70" s="1"/>
  <c r="F1134" i="70"/>
  <c r="F1133" i="70"/>
  <c r="F1131" i="70" s="1"/>
  <c r="F1132" i="70"/>
  <c r="J1131" i="70"/>
  <c r="I1131" i="70"/>
  <c r="H1131" i="70"/>
  <c r="H1130" i="70" s="1"/>
  <c r="G1131" i="70"/>
  <c r="I1130" i="70"/>
  <c r="I1129" i="70" s="1"/>
  <c r="I1127" i="70" s="1"/>
  <c r="H1129" i="70"/>
  <c r="H1127" i="70" s="1"/>
  <c r="I1126" i="70"/>
  <c r="I1125" i="70" s="1"/>
  <c r="F1126" i="70"/>
  <c r="J1125" i="70"/>
  <c r="H1125" i="70"/>
  <c r="G1125" i="70"/>
  <c r="F1125" i="70"/>
  <c r="F1124" i="70"/>
  <c r="F1123" i="70"/>
  <c r="J1122" i="70"/>
  <c r="J1118" i="70" s="1"/>
  <c r="J1117" i="70" s="1"/>
  <c r="J1115" i="70" s="1"/>
  <c r="I1122" i="70"/>
  <c r="H1122" i="70"/>
  <c r="G1122" i="70"/>
  <c r="F1122" i="70"/>
  <c r="F1121" i="70"/>
  <c r="F1119" i="70" s="1"/>
  <c r="F1118" i="70" s="1"/>
  <c r="F1117" i="70" s="1"/>
  <c r="F1115" i="70" s="1"/>
  <c r="F1120" i="70"/>
  <c r="J1119" i="70"/>
  <c r="I1119" i="70"/>
  <c r="I1118" i="70" s="1"/>
  <c r="I1117" i="70" s="1"/>
  <c r="I1115" i="70" s="1"/>
  <c r="H1119" i="70"/>
  <c r="H1118" i="70" s="1"/>
  <c r="H1117" i="70" s="1"/>
  <c r="H1115" i="70" s="1"/>
  <c r="G1119" i="70"/>
  <c r="G1118" i="70"/>
  <c r="G1117" i="70"/>
  <c r="G1115" i="70" s="1"/>
  <c r="F1114" i="70"/>
  <c r="F1113" i="70"/>
  <c r="F1112" i="70"/>
  <c r="F1111" i="70"/>
  <c r="F1110" i="70"/>
  <c r="F1109" i="70"/>
  <c r="F1108" i="70" s="1"/>
  <c r="J1108" i="70"/>
  <c r="I1108" i="70"/>
  <c r="H1108" i="70"/>
  <c r="G1108" i="70"/>
  <c r="G1100" i="70" s="1"/>
  <c r="F1107" i="70"/>
  <c r="F1106" i="70"/>
  <c r="J1105" i="70"/>
  <c r="J1101" i="70" s="1"/>
  <c r="J1100" i="70" s="1"/>
  <c r="I1105" i="70"/>
  <c r="H1105" i="70"/>
  <c r="G1105" i="70"/>
  <c r="F1105" i="70"/>
  <c r="F1104" i="70"/>
  <c r="F1102" i="70" s="1"/>
  <c r="F1103" i="70"/>
  <c r="J1102" i="70"/>
  <c r="I1102" i="70"/>
  <c r="H1102" i="70"/>
  <c r="H1101" i="70" s="1"/>
  <c r="G1102" i="70"/>
  <c r="I1101" i="70"/>
  <c r="I1100" i="70" s="1"/>
  <c r="G1101" i="70"/>
  <c r="H1100" i="70"/>
  <c r="F1099" i="70"/>
  <c r="F1098" i="70"/>
  <c r="F1097" i="70"/>
  <c r="F1096" i="70"/>
  <c r="F1095" i="70"/>
  <c r="F1094" i="70"/>
  <c r="J1093" i="70"/>
  <c r="J1085" i="70" s="1"/>
  <c r="I1093" i="70"/>
  <c r="H1093" i="70"/>
  <c r="G1093" i="70"/>
  <c r="F1093" i="70"/>
  <c r="F1092" i="70"/>
  <c r="F1091" i="70"/>
  <c r="J1090" i="70"/>
  <c r="J1086" i="70" s="1"/>
  <c r="I1090" i="70"/>
  <c r="I1086" i="70" s="1"/>
  <c r="I1085" i="70" s="1"/>
  <c r="H1090" i="70"/>
  <c r="G1090" i="70"/>
  <c r="F1090" i="70"/>
  <c r="F1089" i="70"/>
  <c r="F1088" i="70"/>
  <c r="J1087" i="70"/>
  <c r="I1087" i="70"/>
  <c r="H1087" i="70"/>
  <c r="H1086" i="70" s="1"/>
  <c r="H1085" i="70" s="1"/>
  <c r="G1087" i="70"/>
  <c r="G1086" i="70" s="1"/>
  <c r="G1085" i="70"/>
  <c r="F1084" i="70"/>
  <c r="F1083" i="70"/>
  <c r="F1082" i="70"/>
  <c r="F1081" i="70"/>
  <c r="F1080" i="70"/>
  <c r="F1078" i="70" s="1"/>
  <c r="F1079" i="70"/>
  <c r="J1078" i="70"/>
  <c r="J1070" i="70" s="1"/>
  <c r="I1078" i="70"/>
  <c r="H1078" i="70"/>
  <c r="G1078" i="70"/>
  <c r="F1077" i="70"/>
  <c r="F1076" i="70"/>
  <c r="F1075" i="70" s="1"/>
  <c r="J1075" i="70"/>
  <c r="I1075" i="70"/>
  <c r="H1075" i="70"/>
  <c r="G1075" i="70"/>
  <c r="G1071" i="70" s="1"/>
  <c r="G1070" i="70" s="1"/>
  <c r="F1074" i="70"/>
  <c r="F1073" i="70"/>
  <c r="J1072" i="70"/>
  <c r="J1071" i="70" s="1"/>
  <c r="I1072" i="70"/>
  <c r="H1072" i="70"/>
  <c r="G1072" i="70"/>
  <c r="I1071" i="70"/>
  <c r="I1070" i="70" s="1"/>
  <c r="H1071" i="70"/>
  <c r="H1070" i="70" s="1"/>
  <c r="F1069" i="70"/>
  <c r="F1068" i="70"/>
  <c r="F1067" i="70"/>
  <c r="F1066" i="70"/>
  <c r="F1065" i="70"/>
  <c r="F1064" i="70"/>
  <c r="J1063" i="70"/>
  <c r="I1063" i="70"/>
  <c r="I1055" i="70" s="1"/>
  <c r="H1063" i="70"/>
  <c r="G1063" i="70"/>
  <c r="F1062" i="70"/>
  <c r="F1061" i="70"/>
  <c r="F1060" i="70" s="1"/>
  <c r="J1060" i="70"/>
  <c r="I1060" i="70"/>
  <c r="H1060" i="70"/>
  <c r="G1060" i="70"/>
  <c r="F1059" i="70"/>
  <c r="F1058" i="70"/>
  <c r="J1057" i="70"/>
  <c r="J1056" i="70" s="1"/>
  <c r="J1055" i="70" s="1"/>
  <c r="I1057" i="70"/>
  <c r="I1056" i="70" s="1"/>
  <c r="H1057" i="70"/>
  <c r="G1057" i="70"/>
  <c r="F1057" i="70"/>
  <c r="H1056" i="70"/>
  <c r="H1055" i="70" s="1"/>
  <c r="G1056" i="70"/>
  <c r="G1055" i="70"/>
  <c r="F1054" i="70"/>
  <c r="F1053" i="70"/>
  <c r="F1052" i="70"/>
  <c r="F1051" i="70"/>
  <c r="F1050" i="70"/>
  <c r="F1048" i="70" s="1"/>
  <c r="F1049" i="70"/>
  <c r="J1048" i="70"/>
  <c r="I1048" i="70"/>
  <c r="H1048" i="70"/>
  <c r="G1048" i="70"/>
  <c r="F1047" i="70"/>
  <c r="F1046" i="70"/>
  <c r="F1045" i="70" s="1"/>
  <c r="J1045" i="70"/>
  <c r="I1045" i="70"/>
  <c r="H1045" i="70"/>
  <c r="G1045" i="70"/>
  <c r="G1041" i="70" s="1"/>
  <c r="G1040" i="70" s="1"/>
  <c r="F1044" i="70"/>
  <c r="F1043" i="70"/>
  <c r="J1042" i="70"/>
  <c r="J1041" i="70" s="1"/>
  <c r="J1040" i="70" s="1"/>
  <c r="I1042" i="70"/>
  <c r="H1042" i="70"/>
  <c r="H1041" i="70" s="1"/>
  <c r="G1042" i="70"/>
  <c r="F1042" i="70"/>
  <c r="I1041" i="70"/>
  <c r="I1040" i="70" s="1"/>
  <c r="H1040" i="70"/>
  <c r="F1039" i="70"/>
  <c r="F1038" i="70"/>
  <c r="F1037" i="70"/>
  <c r="G1036" i="70"/>
  <c r="F1036" i="70" s="1"/>
  <c r="H1035" i="70"/>
  <c r="F1035" i="70"/>
  <c r="F1034" i="70"/>
  <c r="J1033" i="70"/>
  <c r="I1033" i="70"/>
  <c r="H1033" i="70"/>
  <c r="G1033" i="70"/>
  <c r="F1032" i="70"/>
  <c r="F1031" i="70"/>
  <c r="J1030" i="70"/>
  <c r="J1026" i="70" s="1"/>
  <c r="J1025" i="70" s="1"/>
  <c r="I1030" i="70"/>
  <c r="H1030" i="70"/>
  <c r="G1030" i="70"/>
  <c r="F1030" i="70"/>
  <c r="F1029" i="70"/>
  <c r="F1028" i="70"/>
  <c r="F1027" i="70" s="1"/>
  <c r="J1027" i="70"/>
  <c r="I1027" i="70"/>
  <c r="I1026" i="70" s="1"/>
  <c r="I1025" i="70" s="1"/>
  <c r="H1027" i="70"/>
  <c r="G1027" i="70"/>
  <c r="H1026" i="70"/>
  <c r="G1026" i="70"/>
  <c r="G1025" i="70" s="1"/>
  <c r="F1024" i="70"/>
  <c r="F1023" i="70"/>
  <c r="F1022" i="70"/>
  <c r="F1021" i="70"/>
  <c r="F1018" i="70" s="1"/>
  <c r="F1020" i="70"/>
  <c r="F1019" i="70"/>
  <c r="J1018" i="70"/>
  <c r="I1018" i="70"/>
  <c r="H1018" i="70"/>
  <c r="G1018" i="70"/>
  <c r="F1017" i="70"/>
  <c r="F1015" i="70" s="1"/>
  <c r="F1016" i="70"/>
  <c r="J1015" i="70"/>
  <c r="I1015" i="70"/>
  <c r="I1011" i="70" s="1"/>
  <c r="I1010" i="70" s="1"/>
  <c r="H1015" i="70"/>
  <c r="H1011" i="70" s="1"/>
  <c r="H1010" i="70" s="1"/>
  <c r="G1015" i="70"/>
  <c r="F1014" i="70"/>
  <c r="F1013" i="70"/>
  <c r="F1012" i="70" s="1"/>
  <c r="F1011" i="70" s="1"/>
  <c r="F1010" i="70" s="1"/>
  <c r="J1012" i="70"/>
  <c r="I1012" i="70"/>
  <c r="H1012" i="70"/>
  <c r="G1012" i="70"/>
  <c r="G1011" i="70" s="1"/>
  <c r="G1010" i="70" s="1"/>
  <c r="J1011" i="70"/>
  <c r="J1010" i="70" s="1"/>
  <c r="F1009" i="70"/>
  <c r="F1008" i="70"/>
  <c r="F1007" i="70"/>
  <c r="F1006" i="70"/>
  <c r="F1005" i="70"/>
  <c r="F1003" i="70" s="1"/>
  <c r="F1004" i="70"/>
  <c r="J1003" i="70"/>
  <c r="I1003" i="70"/>
  <c r="H1003" i="70"/>
  <c r="G1003" i="70"/>
  <c r="F1002" i="70"/>
  <c r="F1001" i="70"/>
  <c r="F1000" i="70" s="1"/>
  <c r="J1000" i="70"/>
  <c r="I1000" i="70"/>
  <c r="H1000" i="70"/>
  <c r="H996" i="70" s="1"/>
  <c r="G1000" i="70"/>
  <c r="G996" i="70" s="1"/>
  <c r="G995" i="70" s="1"/>
  <c r="F999" i="70"/>
  <c r="F998" i="70"/>
  <c r="J997" i="70"/>
  <c r="J996" i="70" s="1"/>
  <c r="I997" i="70"/>
  <c r="H997" i="70"/>
  <c r="G997" i="70"/>
  <c r="F997" i="70"/>
  <c r="I996" i="70"/>
  <c r="I995" i="70" s="1"/>
  <c r="J995" i="70"/>
  <c r="F994" i="70"/>
  <c r="F993" i="70"/>
  <c r="F992" i="70"/>
  <c r="F991" i="70"/>
  <c r="F990" i="70"/>
  <c r="F989" i="70"/>
  <c r="F988" i="70" s="1"/>
  <c r="J988" i="70"/>
  <c r="I988" i="70"/>
  <c r="H988" i="70"/>
  <c r="G988" i="70"/>
  <c r="F987" i="70"/>
  <c r="F986" i="70"/>
  <c r="J985" i="70"/>
  <c r="I985" i="70"/>
  <c r="H985" i="70"/>
  <c r="G985" i="70"/>
  <c r="G981" i="70" s="1"/>
  <c r="F985" i="70"/>
  <c r="F981" i="70" s="1"/>
  <c r="F984" i="70"/>
  <c r="F983" i="70"/>
  <c r="J982" i="70"/>
  <c r="I982" i="70"/>
  <c r="I981" i="70" s="1"/>
  <c r="H982" i="70"/>
  <c r="G982" i="70"/>
  <c r="F982" i="70"/>
  <c r="J981" i="70"/>
  <c r="J980" i="70" s="1"/>
  <c r="H981" i="70"/>
  <c r="H980" i="70" s="1"/>
  <c r="I980" i="70"/>
  <c r="F979" i="70"/>
  <c r="F978" i="70"/>
  <c r="F977" i="70"/>
  <c r="F976" i="70"/>
  <c r="F975" i="70"/>
  <c r="F974" i="70"/>
  <c r="J973" i="70"/>
  <c r="I973" i="70"/>
  <c r="H973" i="70"/>
  <c r="G973" i="70"/>
  <c r="F973" i="70"/>
  <c r="F972" i="70"/>
  <c r="F971" i="70"/>
  <c r="J970" i="70"/>
  <c r="J966" i="70" s="1"/>
  <c r="J965" i="70" s="1"/>
  <c r="I970" i="70"/>
  <c r="I966" i="70" s="1"/>
  <c r="I965" i="70" s="1"/>
  <c r="H970" i="70"/>
  <c r="G970" i="70"/>
  <c r="G966" i="70" s="1"/>
  <c r="F970" i="70"/>
  <c r="F969" i="70"/>
  <c r="F967" i="70" s="1"/>
  <c r="F966" i="70" s="1"/>
  <c r="F965" i="70" s="1"/>
  <c r="F968" i="70"/>
  <c r="J967" i="70"/>
  <c r="I967" i="70"/>
  <c r="H967" i="70"/>
  <c r="H966" i="70" s="1"/>
  <c r="H965" i="70" s="1"/>
  <c r="G967" i="70"/>
  <c r="F964" i="70"/>
  <c r="F963" i="70"/>
  <c r="F962" i="70"/>
  <c r="F961" i="70"/>
  <c r="F960" i="70"/>
  <c r="F959" i="70"/>
  <c r="F958" i="70" s="1"/>
  <c r="J958" i="70"/>
  <c r="I958" i="70"/>
  <c r="H958" i="70"/>
  <c r="G958" i="70"/>
  <c r="F957" i="70"/>
  <c r="F956" i="70"/>
  <c r="J955" i="70"/>
  <c r="J951" i="70" s="1"/>
  <c r="J950" i="70" s="1"/>
  <c r="I955" i="70"/>
  <c r="H955" i="70"/>
  <c r="H951" i="70" s="1"/>
  <c r="H950" i="70" s="1"/>
  <c r="G955" i="70"/>
  <c r="F955" i="70"/>
  <c r="F951" i="70" s="1"/>
  <c r="F954" i="70"/>
  <c r="F953" i="70"/>
  <c r="F952" i="70" s="1"/>
  <c r="J952" i="70"/>
  <c r="I952" i="70"/>
  <c r="H952" i="70"/>
  <c r="G952" i="70"/>
  <c r="G951" i="70" s="1"/>
  <c r="G950" i="70" s="1"/>
  <c r="I951" i="70"/>
  <c r="I950" i="70"/>
  <c r="F949" i="70"/>
  <c r="F948" i="70"/>
  <c r="F947" i="70"/>
  <c r="F946" i="70"/>
  <c r="F945" i="70"/>
  <c r="F943" i="70" s="1"/>
  <c r="F944" i="70"/>
  <c r="J943" i="70"/>
  <c r="I943" i="70"/>
  <c r="H943" i="70"/>
  <c r="G943" i="70"/>
  <c r="F942" i="70"/>
  <c r="F941" i="70"/>
  <c r="F940" i="70" s="1"/>
  <c r="J940" i="70"/>
  <c r="I940" i="70"/>
  <c r="H940" i="70"/>
  <c r="G940" i="70"/>
  <c r="G936" i="70" s="1"/>
  <c r="G935" i="70" s="1"/>
  <c r="F939" i="70"/>
  <c r="F937" i="70" s="1"/>
  <c r="F938" i="70"/>
  <c r="J937" i="70"/>
  <c r="J936" i="70" s="1"/>
  <c r="I937" i="70"/>
  <c r="H937" i="70"/>
  <c r="G937" i="70"/>
  <c r="I936" i="70"/>
  <c r="I935" i="70" s="1"/>
  <c r="H936" i="70"/>
  <c r="H935" i="70" s="1"/>
  <c r="J935" i="70"/>
  <c r="F934" i="70"/>
  <c r="F933" i="70"/>
  <c r="F932" i="70"/>
  <c r="F931" i="70"/>
  <c r="H930" i="70"/>
  <c r="H928" i="70" s="1"/>
  <c r="F930" i="70"/>
  <c r="F928" i="70" s="1"/>
  <c r="G929" i="70"/>
  <c r="F929" i="70"/>
  <c r="J928" i="70"/>
  <c r="I928" i="70"/>
  <c r="G928" i="70"/>
  <c r="F927" i="70"/>
  <c r="F926" i="70"/>
  <c r="J925" i="70"/>
  <c r="I925" i="70"/>
  <c r="H925" i="70"/>
  <c r="H921" i="70" s="1"/>
  <c r="H920" i="70" s="1"/>
  <c r="G925" i="70"/>
  <c r="F925" i="70"/>
  <c r="F921" i="70" s="1"/>
  <c r="F920" i="70" s="1"/>
  <c r="F924" i="70"/>
  <c r="F923" i="70"/>
  <c r="F922" i="70" s="1"/>
  <c r="J922" i="70"/>
  <c r="I922" i="70"/>
  <c r="H922" i="70"/>
  <c r="G922" i="70"/>
  <c r="G921" i="70" s="1"/>
  <c r="G920" i="70" s="1"/>
  <c r="J921" i="70"/>
  <c r="J920" i="70" s="1"/>
  <c r="I921" i="70"/>
  <c r="I920" i="70"/>
  <c r="F919" i="70"/>
  <c r="F918" i="70"/>
  <c r="F917" i="70"/>
  <c r="F916" i="70"/>
  <c r="F915" i="70"/>
  <c r="F913" i="70" s="1"/>
  <c r="G914" i="70"/>
  <c r="F914" i="70"/>
  <c r="J913" i="70"/>
  <c r="I913" i="70"/>
  <c r="H913" i="70"/>
  <c r="G913" i="70"/>
  <c r="F912" i="70"/>
  <c r="F910" i="70" s="1"/>
  <c r="F911" i="70"/>
  <c r="J910" i="70"/>
  <c r="I910" i="70"/>
  <c r="I906" i="70" s="1"/>
  <c r="H910" i="70"/>
  <c r="H906" i="70" s="1"/>
  <c r="H905" i="70" s="1"/>
  <c r="G910" i="70"/>
  <c r="F909" i="70"/>
  <c r="F908" i="70"/>
  <c r="F907" i="70" s="1"/>
  <c r="J907" i="70"/>
  <c r="I907" i="70"/>
  <c r="H907" i="70"/>
  <c r="G907" i="70"/>
  <c r="G906" i="70" s="1"/>
  <c r="G905" i="70" s="1"/>
  <c r="J906" i="70"/>
  <c r="J905" i="70" s="1"/>
  <c r="F906" i="70"/>
  <c r="F905" i="70" s="1"/>
  <c r="F904" i="70"/>
  <c r="F903" i="70"/>
  <c r="F902" i="70"/>
  <c r="F901" i="70"/>
  <c r="F900" i="70"/>
  <c r="F898" i="70" s="1"/>
  <c r="F899" i="70"/>
  <c r="J898" i="70"/>
  <c r="I898" i="70"/>
  <c r="H898" i="70"/>
  <c r="G898" i="70"/>
  <c r="F897" i="70"/>
  <c r="F896" i="70"/>
  <c r="F895" i="70" s="1"/>
  <c r="J895" i="70"/>
  <c r="I895" i="70"/>
  <c r="H895" i="70"/>
  <c r="H891" i="70" s="1"/>
  <c r="G895" i="70"/>
  <c r="G891" i="70" s="1"/>
  <c r="G890" i="70" s="1"/>
  <c r="F894" i="70"/>
  <c r="F893" i="70"/>
  <c r="J892" i="70"/>
  <c r="J891" i="70" s="1"/>
  <c r="I892" i="70"/>
  <c r="H892" i="70"/>
  <c r="G892" i="70"/>
  <c r="F892" i="70"/>
  <c r="I891" i="70"/>
  <c r="J890" i="70"/>
  <c r="I890" i="70"/>
  <c r="F889" i="70"/>
  <c r="F888" i="70"/>
  <c r="F887" i="70"/>
  <c r="G886" i="70"/>
  <c r="F886" i="70"/>
  <c r="H885" i="70"/>
  <c r="F884" i="70"/>
  <c r="J883" i="70"/>
  <c r="I883" i="70"/>
  <c r="G883" i="70"/>
  <c r="F882" i="70"/>
  <c r="F881" i="70"/>
  <c r="J880" i="70"/>
  <c r="I880" i="70"/>
  <c r="H880" i="70"/>
  <c r="H876" i="70" s="1"/>
  <c r="G880" i="70"/>
  <c r="F880" i="70"/>
  <c r="F876" i="70" s="1"/>
  <c r="F879" i="70"/>
  <c r="F878" i="70"/>
  <c r="F877" i="70" s="1"/>
  <c r="J877" i="70"/>
  <c r="I877" i="70"/>
  <c r="H877" i="70"/>
  <c r="G877" i="70"/>
  <c r="G876" i="70" s="1"/>
  <c r="G875" i="70" s="1"/>
  <c r="J876" i="70"/>
  <c r="J875" i="70" s="1"/>
  <c r="I876" i="70"/>
  <c r="I875" i="70"/>
  <c r="F874" i="70"/>
  <c r="F873" i="70"/>
  <c r="F872" i="70"/>
  <c r="F871" i="70"/>
  <c r="F870" i="70"/>
  <c r="F868" i="70" s="1"/>
  <c r="F869" i="70"/>
  <c r="J868" i="70"/>
  <c r="I868" i="70"/>
  <c r="H868" i="70"/>
  <c r="G868" i="70"/>
  <c r="F867" i="70"/>
  <c r="F866" i="70"/>
  <c r="F865" i="70" s="1"/>
  <c r="J865" i="70"/>
  <c r="I865" i="70"/>
  <c r="H865" i="70"/>
  <c r="G865" i="70"/>
  <c r="G861" i="70" s="1"/>
  <c r="G860" i="70" s="1"/>
  <c r="F864" i="70"/>
  <c r="F862" i="70" s="1"/>
  <c r="F861" i="70" s="1"/>
  <c r="F860" i="70" s="1"/>
  <c r="F863" i="70"/>
  <c r="J862" i="70"/>
  <c r="J861" i="70" s="1"/>
  <c r="I862" i="70"/>
  <c r="H862" i="70"/>
  <c r="H861" i="70" s="1"/>
  <c r="H860" i="70" s="1"/>
  <c r="G862" i="70"/>
  <c r="I861" i="70"/>
  <c r="I860" i="70" s="1"/>
  <c r="J860" i="70"/>
  <c r="F859" i="70"/>
  <c r="F858" i="70"/>
  <c r="F857" i="70"/>
  <c r="F856" i="70"/>
  <c r="F855" i="70"/>
  <c r="F854" i="70"/>
  <c r="F853" i="70" s="1"/>
  <c r="J853" i="70"/>
  <c r="I853" i="70"/>
  <c r="H853" i="70"/>
  <c r="G853" i="70"/>
  <c r="F852" i="70"/>
  <c r="F850" i="70" s="1"/>
  <c r="F851" i="70"/>
  <c r="J850" i="70"/>
  <c r="I850" i="70"/>
  <c r="H850" i="70"/>
  <c r="G850" i="70"/>
  <c r="F849" i="70"/>
  <c r="F848" i="70"/>
  <c r="F847" i="70" s="1"/>
  <c r="F846" i="70" s="1"/>
  <c r="F845" i="70" s="1"/>
  <c r="J847" i="70"/>
  <c r="I847" i="70"/>
  <c r="I846" i="70" s="1"/>
  <c r="H847" i="70"/>
  <c r="G847" i="70"/>
  <c r="G846" i="70" s="1"/>
  <c r="G845" i="70" s="1"/>
  <c r="J846" i="70"/>
  <c r="J845" i="70" s="1"/>
  <c r="H846" i="70"/>
  <c r="H845" i="70" s="1"/>
  <c r="I845" i="70"/>
  <c r="F844" i="70"/>
  <c r="F843" i="70"/>
  <c r="F842" i="70"/>
  <c r="F841" i="70"/>
  <c r="F840" i="70"/>
  <c r="F839" i="70"/>
  <c r="J838" i="70"/>
  <c r="J830" i="70" s="1"/>
  <c r="I838" i="70"/>
  <c r="H838" i="70"/>
  <c r="G838" i="70"/>
  <c r="F838" i="70"/>
  <c r="F837" i="70"/>
  <c r="F836" i="70"/>
  <c r="J835" i="70"/>
  <c r="I835" i="70"/>
  <c r="H835" i="70"/>
  <c r="G835" i="70"/>
  <c r="F835" i="70"/>
  <c r="F834" i="70"/>
  <c r="F832" i="70" s="1"/>
  <c r="F831" i="70" s="1"/>
  <c r="F830" i="70" s="1"/>
  <c r="F833" i="70"/>
  <c r="J832" i="70"/>
  <c r="I832" i="70"/>
  <c r="H832" i="70"/>
  <c r="H831" i="70" s="1"/>
  <c r="G832" i="70"/>
  <c r="J831" i="70"/>
  <c r="I831" i="70"/>
  <c r="I830" i="70" s="1"/>
  <c r="G831" i="70"/>
  <c r="H830" i="70"/>
  <c r="G830" i="70"/>
  <c r="F829" i="70"/>
  <c r="F828" i="70"/>
  <c r="F827" i="70"/>
  <c r="I826" i="70"/>
  <c r="G826" i="70"/>
  <c r="F826" i="70"/>
  <c r="H825" i="70"/>
  <c r="F824" i="70"/>
  <c r="J823" i="70"/>
  <c r="I823" i="70"/>
  <c r="G823" i="70"/>
  <c r="F822" i="70"/>
  <c r="F821" i="70"/>
  <c r="J820" i="70"/>
  <c r="I820" i="70"/>
  <c r="I816" i="70" s="1"/>
  <c r="I815" i="70" s="1"/>
  <c r="H820" i="70"/>
  <c r="H816" i="70" s="1"/>
  <c r="G820" i="70"/>
  <c r="F819" i="70"/>
  <c r="F818" i="70"/>
  <c r="J817" i="70"/>
  <c r="J816" i="70" s="1"/>
  <c r="J815" i="70" s="1"/>
  <c r="I817" i="70"/>
  <c r="H817" i="70"/>
  <c r="G817" i="70"/>
  <c r="G816" i="70" s="1"/>
  <c r="G815" i="70" s="1"/>
  <c r="F817" i="70"/>
  <c r="F814" i="70"/>
  <c r="F813" i="70"/>
  <c r="F812" i="70"/>
  <c r="F811" i="70"/>
  <c r="H810" i="70"/>
  <c r="F809" i="70"/>
  <c r="J808" i="70"/>
  <c r="I808" i="70"/>
  <c r="G808" i="70"/>
  <c r="F807" i="70"/>
  <c r="F806" i="70"/>
  <c r="J805" i="70"/>
  <c r="I805" i="70"/>
  <c r="I801" i="70" s="1"/>
  <c r="H805" i="70"/>
  <c r="H801" i="70" s="1"/>
  <c r="G805" i="70"/>
  <c r="F804" i="70"/>
  <c r="F803" i="70"/>
  <c r="J802" i="70"/>
  <c r="J801" i="70" s="1"/>
  <c r="I802" i="70"/>
  <c r="H802" i="70"/>
  <c r="G802" i="70"/>
  <c r="F802" i="70"/>
  <c r="G801" i="70"/>
  <c r="G800" i="70" s="1"/>
  <c r="J800" i="70"/>
  <c r="F799" i="70"/>
  <c r="F798" i="70"/>
  <c r="F797" i="70"/>
  <c r="G796" i="70"/>
  <c r="G793" i="70" s="1"/>
  <c r="F796" i="70"/>
  <c r="H795" i="70"/>
  <c r="F794" i="70"/>
  <c r="J793" i="70"/>
  <c r="I793" i="70"/>
  <c r="F792" i="70"/>
  <c r="F790" i="70" s="1"/>
  <c r="F791" i="70"/>
  <c r="J790" i="70"/>
  <c r="I790" i="70"/>
  <c r="I786" i="70" s="1"/>
  <c r="I785" i="70" s="1"/>
  <c r="H790" i="70"/>
  <c r="H786" i="70" s="1"/>
  <c r="G790" i="70"/>
  <c r="F789" i="70"/>
  <c r="F788" i="70"/>
  <c r="F787" i="70" s="1"/>
  <c r="J787" i="70"/>
  <c r="I787" i="70"/>
  <c r="H787" i="70"/>
  <c r="G787" i="70"/>
  <c r="G786" i="70" s="1"/>
  <c r="G785" i="70" s="1"/>
  <c r="J786" i="70"/>
  <c r="J785" i="70" s="1"/>
  <c r="F786" i="70"/>
  <c r="F784" i="70"/>
  <c r="F783" i="70"/>
  <c r="F782" i="70"/>
  <c r="F781" i="70"/>
  <c r="F780" i="70"/>
  <c r="F778" i="70" s="1"/>
  <c r="F779" i="70"/>
  <c r="J778" i="70"/>
  <c r="I778" i="70"/>
  <c r="H778" i="70"/>
  <c r="G778" i="70"/>
  <c r="F777" i="70"/>
  <c r="F776" i="70"/>
  <c r="F775" i="70" s="1"/>
  <c r="J775" i="70"/>
  <c r="I775" i="70"/>
  <c r="H775" i="70"/>
  <c r="H771" i="70" s="1"/>
  <c r="G775" i="70"/>
  <c r="G771" i="70" s="1"/>
  <c r="G770" i="70" s="1"/>
  <c r="F774" i="70"/>
  <c r="F773" i="70"/>
  <c r="J772" i="70"/>
  <c r="J771" i="70" s="1"/>
  <c r="I772" i="70"/>
  <c r="H772" i="70"/>
  <c r="G772" i="70"/>
  <c r="F772" i="70"/>
  <c r="I771" i="70"/>
  <c r="J770" i="70"/>
  <c r="I770" i="70"/>
  <c r="F769" i="70"/>
  <c r="F768" i="70"/>
  <c r="F767" i="70"/>
  <c r="F766" i="70"/>
  <c r="F765" i="70"/>
  <c r="F764" i="70"/>
  <c r="F763" i="70" s="1"/>
  <c r="J763" i="70"/>
  <c r="I763" i="70"/>
  <c r="H763" i="70"/>
  <c r="G763" i="70"/>
  <c r="F762" i="70"/>
  <c r="F761" i="70"/>
  <c r="J760" i="70"/>
  <c r="I760" i="70"/>
  <c r="H760" i="70"/>
  <c r="G760" i="70"/>
  <c r="G756" i="70" s="1"/>
  <c r="G755" i="70" s="1"/>
  <c r="F760" i="70"/>
  <c r="F756" i="70" s="1"/>
  <c r="F759" i="70"/>
  <c r="F758" i="70"/>
  <c r="J757" i="70"/>
  <c r="I757" i="70"/>
  <c r="I756" i="70" s="1"/>
  <c r="H757" i="70"/>
  <c r="G757" i="70"/>
  <c r="F757" i="70"/>
  <c r="J756" i="70"/>
  <c r="J755" i="70" s="1"/>
  <c r="H756" i="70"/>
  <c r="I755" i="70"/>
  <c r="H755" i="70"/>
  <c r="F754" i="70"/>
  <c r="F753" i="70"/>
  <c r="F752" i="70"/>
  <c r="F751" i="70"/>
  <c r="F750" i="70"/>
  <c r="F749" i="70"/>
  <c r="J748" i="70"/>
  <c r="I748" i="70"/>
  <c r="H748" i="70"/>
  <c r="G748" i="70"/>
  <c r="F748" i="70"/>
  <c r="F747" i="70"/>
  <c r="F746" i="70"/>
  <c r="J745" i="70"/>
  <c r="J741" i="70" s="1"/>
  <c r="J740" i="70" s="1"/>
  <c r="I745" i="70"/>
  <c r="I741" i="70" s="1"/>
  <c r="I740" i="70" s="1"/>
  <c r="H745" i="70"/>
  <c r="G745" i="70"/>
  <c r="G741" i="70" s="1"/>
  <c r="F745" i="70"/>
  <c r="F744" i="70"/>
  <c r="F742" i="70" s="1"/>
  <c r="F741" i="70" s="1"/>
  <c r="F740" i="70" s="1"/>
  <c r="F743" i="70"/>
  <c r="J742" i="70"/>
  <c r="I742" i="70"/>
  <c r="H742" i="70"/>
  <c r="H741" i="70" s="1"/>
  <c r="G742" i="70"/>
  <c r="H740" i="70"/>
  <c r="F739" i="70"/>
  <c r="F738" i="70"/>
  <c r="F737" i="70"/>
  <c r="G736" i="70"/>
  <c r="F736" i="70" s="1"/>
  <c r="H735" i="70"/>
  <c r="F735" i="70"/>
  <c r="F734" i="70"/>
  <c r="J733" i="70"/>
  <c r="I733" i="70"/>
  <c r="H733" i="70"/>
  <c r="F732" i="70"/>
  <c r="F731" i="70"/>
  <c r="F730" i="70" s="1"/>
  <c r="J730" i="70"/>
  <c r="I730" i="70"/>
  <c r="H730" i="70"/>
  <c r="H726" i="70" s="1"/>
  <c r="H725" i="70" s="1"/>
  <c r="G730" i="70"/>
  <c r="G726" i="70" s="1"/>
  <c r="F729" i="70"/>
  <c r="F728" i="70"/>
  <c r="J727" i="70"/>
  <c r="J726" i="70" s="1"/>
  <c r="J725" i="70" s="1"/>
  <c r="I727" i="70"/>
  <c r="I726" i="70" s="1"/>
  <c r="H727" i="70"/>
  <c r="G727" i="70"/>
  <c r="F727" i="70"/>
  <c r="I725" i="70"/>
  <c r="F724" i="70"/>
  <c r="F723" i="70"/>
  <c r="F722" i="70"/>
  <c r="F721" i="70"/>
  <c r="F720" i="70"/>
  <c r="F719" i="70"/>
  <c r="J718" i="70"/>
  <c r="I718" i="70"/>
  <c r="H718" i="70"/>
  <c r="H710" i="70" s="1"/>
  <c r="G718" i="70"/>
  <c r="F717" i="70"/>
  <c r="F716" i="70"/>
  <c r="J715" i="70"/>
  <c r="I715" i="70"/>
  <c r="H715" i="70"/>
  <c r="G715" i="70"/>
  <c r="G711" i="70" s="1"/>
  <c r="G710" i="70" s="1"/>
  <c r="F715" i="70"/>
  <c r="F714" i="70"/>
  <c r="F713" i="70"/>
  <c r="J712" i="70"/>
  <c r="I712" i="70"/>
  <c r="I711" i="70" s="1"/>
  <c r="I710" i="70" s="1"/>
  <c r="H712" i="70"/>
  <c r="H711" i="70" s="1"/>
  <c r="G712" i="70"/>
  <c r="F712" i="70"/>
  <c r="F711" i="70" s="1"/>
  <c r="J711" i="70"/>
  <c r="J710" i="70" s="1"/>
  <c r="F707" i="70"/>
  <c r="F706" i="70"/>
  <c r="F705" i="70" s="1"/>
  <c r="J705" i="70"/>
  <c r="I705" i="70"/>
  <c r="H705" i="70"/>
  <c r="G705" i="70"/>
  <c r="F704" i="70"/>
  <c r="F703" i="70"/>
  <c r="F702" i="70"/>
  <c r="F701" i="70"/>
  <c r="J700" i="70"/>
  <c r="I700" i="70"/>
  <c r="H700" i="70"/>
  <c r="G700" i="70"/>
  <c r="F699" i="70"/>
  <c r="F698" i="70"/>
  <c r="F697" i="70"/>
  <c r="F696" i="70"/>
  <c r="F695" i="70"/>
  <c r="F694" i="70"/>
  <c r="F693" i="70"/>
  <c r="F692" i="70"/>
  <c r="F691" i="70"/>
  <c r="F690" i="70"/>
  <c r="F689" i="70" s="1"/>
  <c r="J689" i="70"/>
  <c r="I689" i="70"/>
  <c r="H689" i="70"/>
  <c r="H685" i="70" s="1"/>
  <c r="H684" i="70" s="1"/>
  <c r="G689" i="70"/>
  <c r="G685" i="70" s="1"/>
  <c r="G684" i="70" s="1"/>
  <c r="F688" i="70"/>
  <c r="F687" i="70"/>
  <c r="J686" i="70"/>
  <c r="J685" i="70" s="1"/>
  <c r="J684" i="70" s="1"/>
  <c r="I686" i="70"/>
  <c r="H686" i="70"/>
  <c r="G686" i="70"/>
  <c r="F686" i="70"/>
  <c r="F683" i="70"/>
  <c r="F682" i="70"/>
  <c r="J681" i="70"/>
  <c r="I681" i="70"/>
  <c r="H681" i="70"/>
  <c r="G681" i="70"/>
  <c r="F680" i="70"/>
  <c r="F679" i="70"/>
  <c r="F678" i="70"/>
  <c r="F677" i="70"/>
  <c r="F676" i="70"/>
  <c r="F675" i="70"/>
  <c r="F674" i="70"/>
  <c r="F673" i="70"/>
  <c r="F672" i="70"/>
  <c r="F671" i="70"/>
  <c r="F670" i="70"/>
  <c r="F669" i="70"/>
  <c r="F668" i="70"/>
  <c r="F667" i="70"/>
  <c r="F666" i="70"/>
  <c r="F665" i="70"/>
  <c r="F664" i="70"/>
  <c r="F663" i="70"/>
  <c r="F662" i="70"/>
  <c r="F661" i="70"/>
  <c r="F660" i="70"/>
  <c r="F659" i="70"/>
  <c r="J658" i="70"/>
  <c r="I658" i="70"/>
  <c r="H658" i="70"/>
  <c r="G658" i="70"/>
  <c r="F658" i="70"/>
  <c r="F657" i="70"/>
  <c r="F656" i="70"/>
  <c r="F655" i="70"/>
  <c r="F654" i="70"/>
  <c r="F653" i="70"/>
  <c r="F652" i="70"/>
  <c r="F651" i="70"/>
  <c r="F650" i="70"/>
  <c r="F649" i="70" s="1"/>
  <c r="F648" i="70" s="1"/>
  <c r="J649" i="70"/>
  <c r="I649" i="70"/>
  <c r="H649" i="70"/>
  <c r="H648" i="70" s="1"/>
  <c r="H647" i="70" s="1"/>
  <c r="G649" i="70"/>
  <c r="G648" i="70" s="1"/>
  <c r="G647" i="70" s="1"/>
  <c r="I648" i="70"/>
  <c r="I647" i="70"/>
  <c r="F646" i="70"/>
  <c r="F645" i="70"/>
  <c r="F644" i="70" s="1"/>
  <c r="J644" i="70"/>
  <c r="I644" i="70"/>
  <c r="H644" i="70"/>
  <c r="G644" i="70"/>
  <c r="F643" i="70"/>
  <c r="F642" i="70"/>
  <c r="F641" i="70"/>
  <c r="F640" i="70"/>
  <c r="F639" i="70"/>
  <c r="F638" i="70"/>
  <c r="F635" i="70" s="1"/>
  <c r="F637" i="70"/>
  <c r="F636" i="70"/>
  <c r="J635" i="70"/>
  <c r="J627" i="70" s="1"/>
  <c r="J626" i="70" s="1"/>
  <c r="I635" i="70"/>
  <c r="H635" i="70"/>
  <c r="G635" i="70"/>
  <c r="F634" i="70"/>
  <c r="F633" i="70"/>
  <c r="F632" i="70"/>
  <c r="F631" i="70"/>
  <c r="F630" i="70"/>
  <c r="F629" i="70"/>
  <c r="J628" i="70"/>
  <c r="I628" i="70"/>
  <c r="H628" i="70"/>
  <c r="H627" i="70" s="1"/>
  <c r="H626" i="70" s="1"/>
  <c r="G628" i="70"/>
  <c r="G627" i="70" s="1"/>
  <c r="I627" i="70"/>
  <c r="I626" i="70" s="1"/>
  <c r="G626" i="70"/>
  <c r="F625" i="70"/>
  <c r="F624" i="70"/>
  <c r="J623" i="70"/>
  <c r="I623" i="70"/>
  <c r="H623" i="70"/>
  <c r="G623" i="70"/>
  <c r="F623" i="70"/>
  <c r="F622" i="70"/>
  <c r="F621" i="70"/>
  <c r="F620" i="70"/>
  <c r="F619" i="70"/>
  <c r="F618" i="70"/>
  <c r="F617" i="70"/>
  <c r="F616" i="70"/>
  <c r="F615" i="70"/>
  <c r="F614" i="70"/>
  <c r="F613" i="70"/>
  <c r="J612" i="70"/>
  <c r="I612" i="70"/>
  <c r="H612" i="70"/>
  <c r="G612" i="70"/>
  <c r="F611" i="70"/>
  <c r="F610" i="70"/>
  <c r="F609" i="70"/>
  <c r="F608" i="70"/>
  <c r="F607" i="70"/>
  <c r="J606" i="70"/>
  <c r="J605" i="70" s="1"/>
  <c r="J604" i="70" s="1"/>
  <c r="I606" i="70"/>
  <c r="H606" i="70"/>
  <c r="G606" i="70"/>
  <c r="F606" i="70"/>
  <c r="H605" i="70"/>
  <c r="G605" i="70"/>
  <c r="G604" i="70" s="1"/>
  <c r="H604" i="70"/>
  <c r="F603" i="70"/>
  <c r="F601" i="70" s="1"/>
  <c r="F602" i="70"/>
  <c r="J601" i="70"/>
  <c r="I601" i="70"/>
  <c r="H601" i="70"/>
  <c r="G601" i="70"/>
  <c r="F600" i="70"/>
  <c r="F599" i="70"/>
  <c r="F598" i="70"/>
  <c r="F597" i="70"/>
  <c r="F596" i="70"/>
  <c r="F595" i="70"/>
  <c r="F594" i="70"/>
  <c r="F593" i="70"/>
  <c r="F592" i="70"/>
  <c r="F591" i="70"/>
  <c r="F589" i="70" s="1"/>
  <c r="F590" i="70"/>
  <c r="J589" i="70"/>
  <c r="I589" i="70"/>
  <c r="H589" i="70"/>
  <c r="G589" i="70"/>
  <c r="F588" i="70"/>
  <c r="F587" i="70"/>
  <c r="F586" i="70"/>
  <c r="F585" i="70"/>
  <c r="F584" i="70"/>
  <c r="F583" i="70"/>
  <c r="F582" i="70" s="1"/>
  <c r="J582" i="70"/>
  <c r="I582" i="70"/>
  <c r="I581" i="70" s="1"/>
  <c r="H582" i="70"/>
  <c r="G582" i="70"/>
  <c r="G581" i="70" s="1"/>
  <c r="G580" i="70" s="1"/>
  <c r="J581" i="70"/>
  <c r="J580" i="70" s="1"/>
  <c r="H581" i="70"/>
  <c r="H580" i="70" s="1"/>
  <c r="I580" i="70"/>
  <c r="F579" i="70"/>
  <c r="F578" i="70"/>
  <c r="J577" i="70"/>
  <c r="I577" i="70"/>
  <c r="H577" i="70"/>
  <c r="G577" i="70"/>
  <c r="F577" i="70"/>
  <c r="F576" i="70"/>
  <c r="F575" i="70"/>
  <c r="F574" i="70"/>
  <c r="F573" i="70"/>
  <c r="F572" i="70"/>
  <c r="F571" i="70"/>
  <c r="F570" i="70"/>
  <c r="F569" i="70"/>
  <c r="F568" i="70" s="1"/>
  <c r="J568" i="70"/>
  <c r="I568" i="70"/>
  <c r="H568" i="70"/>
  <c r="G568" i="70"/>
  <c r="G558" i="70" s="1"/>
  <c r="G557" i="70" s="1"/>
  <c r="F567" i="70"/>
  <c r="F566" i="70"/>
  <c r="F565" i="70"/>
  <c r="F564" i="70"/>
  <c r="F563" i="70"/>
  <c r="F562" i="70"/>
  <c r="F561" i="70"/>
  <c r="F560" i="70"/>
  <c r="J559" i="70"/>
  <c r="J558" i="70" s="1"/>
  <c r="J557" i="70" s="1"/>
  <c r="I559" i="70"/>
  <c r="H559" i="70"/>
  <c r="H558" i="70" s="1"/>
  <c r="G559" i="70"/>
  <c r="F559" i="70"/>
  <c r="F558" i="70" s="1"/>
  <c r="F557" i="70" s="1"/>
  <c r="I558" i="70"/>
  <c r="I557" i="70" s="1"/>
  <c r="H557" i="70"/>
  <c r="F556" i="70"/>
  <c r="F555" i="70"/>
  <c r="J554" i="70"/>
  <c r="I554" i="70"/>
  <c r="H554" i="70"/>
  <c r="G554" i="70"/>
  <c r="F554" i="70"/>
  <c r="F553" i="70"/>
  <c r="F552" i="70"/>
  <c r="F551" i="70"/>
  <c r="F550" i="70"/>
  <c r="F549" i="70"/>
  <c r="F548" i="70"/>
  <c r="F547" i="70"/>
  <c r="F546" i="70"/>
  <c r="J545" i="70"/>
  <c r="J535" i="70" s="1"/>
  <c r="J534" i="70" s="1"/>
  <c r="I545" i="70"/>
  <c r="H545" i="70"/>
  <c r="G545" i="70"/>
  <c r="F545" i="70"/>
  <c r="F544" i="70"/>
  <c r="F543" i="70"/>
  <c r="F542" i="70"/>
  <c r="F541" i="70"/>
  <c r="F540" i="70"/>
  <c r="F539" i="70"/>
  <c r="F538" i="70"/>
  <c r="F537" i="70"/>
  <c r="F536" i="70" s="1"/>
  <c r="F535" i="70" s="1"/>
  <c r="F534" i="70" s="1"/>
  <c r="J536" i="70"/>
  <c r="I536" i="70"/>
  <c r="H536" i="70"/>
  <c r="G536" i="70"/>
  <c r="G535" i="70" s="1"/>
  <c r="G534" i="70" s="1"/>
  <c r="I535" i="70"/>
  <c r="H535" i="70"/>
  <c r="H534" i="70" s="1"/>
  <c r="I534" i="70"/>
  <c r="F533" i="70"/>
  <c r="F532" i="70"/>
  <c r="J531" i="70"/>
  <c r="I531" i="70"/>
  <c r="H531" i="70"/>
  <c r="G531" i="70"/>
  <c r="F530" i="70"/>
  <c r="F529" i="70"/>
  <c r="F528" i="70"/>
  <c r="F527" i="70"/>
  <c r="F526" i="70"/>
  <c r="F525" i="70"/>
  <c r="F524" i="70"/>
  <c r="F523" i="70"/>
  <c r="F522" i="70"/>
  <c r="F521" i="70"/>
  <c r="J520" i="70"/>
  <c r="J510" i="70" s="1"/>
  <c r="J509" i="70" s="1"/>
  <c r="I520" i="70"/>
  <c r="H520" i="70"/>
  <c r="G520" i="70"/>
  <c r="F520" i="70"/>
  <c r="F519" i="70"/>
  <c r="F518" i="70"/>
  <c r="F517" i="70"/>
  <c r="F516" i="70"/>
  <c r="F515" i="70"/>
  <c r="F514" i="70"/>
  <c r="F513" i="70"/>
  <c r="F512" i="70"/>
  <c r="F511" i="70" s="1"/>
  <c r="F510" i="70" s="1"/>
  <c r="J511" i="70"/>
  <c r="I511" i="70"/>
  <c r="H511" i="70"/>
  <c r="H510" i="70" s="1"/>
  <c r="H509" i="70" s="1"/>
  <c r="G511" i="70"/>
  <c r="G510" i="70" s="1"/>
  <c r="G509" i="70" s="1"/>
  <c r="I510" i="70"/>
  <c r="I509" i="70"/>
  <c r="F508" i="70"/>
  <c r="F506" i="70" s="1"/>
  <c r="F507" i="70"/>
  <c r="J506" i="70"/>
  <c r="I506" i="70"/>
  <c r="H506" i="70"/>
  <c r="G506" i="70"/>
  <c r="F505" i="70"/>
  <c r="F504" i="70"/>
  <c r="F503" i="70"/>
  <c r="F502" i="70"/>
  <c r="F501" i="70"/>
  <c r="F500" i="70"/>
  <c r="F499" i="70"/>
  <c r="F498" i="70"/>
  <c r="J497" i="70"/>
  <c r="J485" i="70" s="1"/>
  <c r="J484" i="70" s="1"/>
  <c r="I497" i="70"/>
  <c r="H497" i="70"/>
  <c r="G497" i="70"/>
  <c r="F497" i="70"/>
  <c r="F496" i="70"/>
  <c r="F495" i="70"/>
  <c r="F494" i="70"/>
  <c r="F493" i="70"/>
  <c r="F492" i="70"/>
  <c r="F491" i="70"/>
  <c r="F490" i="70"/>
  <c r="F489" i="70"/>
  <c r="F488" i="70"/>
  <c r="F487" i="70"/>
  <c r="J486" i="70"/>
  <c r="I486" i="70"/>
  <c r="H486" i="70"/>
  <c r="H485" i="70" s="1"/>
  <c r="G486" i="70"/>
  <c r="I485" i="70"/>
  <c r="I484" i="70" s="1"/>
  <c r="G485" i="70"/>
  <c r="G484" i="70"/>
  <c r="F483" i="70"/>
  <c r="F482" i="70"/>
  <c r="J481" i="70"/>
  <c r="I481" i="70"/>
  <c r="H481" i="70"/>
  <c r="G481" i="70"/>
  <c r="F481" i="70"/>
  <c r="F480" i="70"/>
  <c r="F479" i="70"/>
  <c r="F478" i="70"/>
  <c r="F477" i="70"/>
  <c r="F476" i="70"/>
  <c r="F475" i="70"/>
  <c r="J474" i="70"/>
  <c r="I474" i="70"/>
  <c r="I462" i="70" s="1"/>
  <c r="I461" i="70" s="1"/>
  <c r="H474" i="70"/>
  <c r="G474" i="70"/>
  <c r="F473" i="70"/>
  <c r="F472" i="70"/>
  <c r="F471" i="70"/>
  <c r="F470" i="70"/>
  <c r="F469" i="70"/>
  <c r="F468" i="70"/>
  <c r="F467" i="70"/>
  <c r="F466" i="70"/>
  <c r="F465" i="70"/>
  <c r="F464" i="70"/>
  <c r="F463" i="70" s="1"/>
  <c r="J463" i="70"/>
  <c r="I463" i="70"/>
  <c r="H463" i="70"/>
  <c r="G463" i="70"/>
  <c r="G462" i="70" s="1"/>
  <c r="G461" i="70" s="1"/>
  <c r="J462" i="70"/>
  <c r="H462" i="70"/>
  <c r="H461" i="70" s="1"/>
  <c r="J461" i="70"/>
  <c r="F460" i="70"/>
  <c r="F459" i="70"/>
  <c r="F458" i="70"/>
  <c r="F457" i="70"/>
  <c r="F456" i="70"/>
  <c r="F454" i="70" s="1"/>
  <c r="F455" i="70"/>
  <c r="J454" i="70"/>
  <c r="I454" i="70"/>
  <c r="H454" i="70"/>
  <c r="G454" i="70"/>
  <c r="F453" i="70"/>
  <c r="F452" i="70"/>
  <c r="F450" i="70" s="1"/>
  <c r="F451" i="70"/>
  <c r="J450" i="70"/>
  <c r="I450" i="70"/>
  <c r="H450" i="70"/>
  <c r="G450" i="70"/>
  <c r="F449" i="70"/>
  <c r="F448" i="70"/>
  <c r="F447" i="70"/>
  <c r="J446" i="70"/>
  <c r="I446" i="70"/>
  <c r="H446" i="70"/>
  <c r="G446" i="70"/>
  <c r="J445" i="70"/>
  <c r="I445" i="70"/>
  <c r="I444" i="70" s="1"/>
  <c r="G445" i="70"/>
  <c r="J444" i="70"/>
  <c r="G444" i="70"/>
  <c r="F443" i="70"/>
  <c r="F442" i="70"/>
  <c r="J441" i="70"/>
  <c r="I441" i="70"/>
  <c r="H441" i="70"/>
  <c r="G441" i="70"/>
  <c r="F441" i="70"/>
  <c r="F440" i="70"/>
  <c r="F439" i="70"/>
  <c r="F438" i="70"/>
  <c r="F437" i="70"/>
  <c r="F436" i="70"/>
  <c r="F435" i="70"/>
  <c r="F434" i="70"/>
  <c r="F433" i="70"/>
  <c r="F432" i="70"/>
  <c r="F431" i="70"/>
  <c r="F430" i="70"/>
  <c r="F429" i="70"/>
  <c r="F428" i="70"/>
  <c r="F427" i="70"/>
  <c r="F426" i="70"/>
  <c r="F425" i="70"/>
  <c r="F424" i="70"/>
  <c r="F423" i="70"/>
  <c r="F422" i="70"/>
  <c r="J421" i="70"/>
  <c r="J409" i="70" s="1"/>
  <c r="J408" i="70" s="1"/>
  <c r="I421" i="70"/>
  <c r="H421" i="70"/>
  <c r="G421" i="70"/>
  <c r="F421" i="70"/>
  <c r="F420" i="70"/>
  <c r="F419" i="70"/>
  <c r="F418" i="70"/>
  <c r="F417" i="70"/>
  <c r="F416" i="70"/>
  <c r="F415" i="70"/>
  <c r="F414" i="70"/>
  <c r="F413" i="70"/>
  <c r="F412" i="70"/>
  <c r="F411" i="70"/>
  <c r="J410" i="70"/>
  <c r="I410" i="70"/>
  <c r="H410" i="70"/>
  <c r="H409" i="70" s="1"/>
  <c r="H408" i="70" s="1"/>
  <c r="G410" i="70"/>
  <c r="I409" i="70"/>
  <c r="I408" i="70" s="1"/>
  <c r="G409" i="70"/>
  <c r="G408" i="70"/>
  <c r="F407" i="70"/>
  <c r="F406" i="70"/>
  <c r="J405" i="70"/>
  <c r="I405" i="70"/>
  <c r="H405" i="70"/>
  <c r="G405" i="70"/>
  <c r="F405" i="70"/>
  <c r="F404" i="70"/>
  <c r="F403" i="70"/>
  <c r="F402" i="70"/>
  <c r="F401" i="70"/>
  <c r="F400" i="70"/>
  <c r="F399" i="70"/>
  <c r="F398" i="70"/>
  <c r="F397" i="70"/>
  <c r="F396" i="70"/>
  <c r="F395" i="70"/>
  <c r="F394" i="70"/>
  <c r="F393" i="70"/>
  <c r="F392" i="70"/>
  <c r="F391" i="70"/>
  <c r="F390" i="70"/>
  <c r="F389" i="70"/>
  <c r="F388" i="70" s="1"/>
  <c r="J388" i="70"/>
  <c r="I388" i="70"/>
  <c r="H388" i="70"/>
  <c r="G388" i="70"/>
  <c r="F387" i="70"/>
  <c r="F386" i="70"/>
  <c r="F385" i="70"/>
  <c r="F384" i="70"/>
  <c r="F383" i="70"/>
  <c r="F382" i="70"/>
  <c r="F381" i="70"/>
  <c r="F380" i="70"/>
  <c r="F379" i="70"/>
  <c r="F378" i="70"/>
  <c r="J377" i="70"/>
  <c r="I377" i="70"/>
  <c r="I371" i="70" s="1"/>
  <c r="H377" i="70"/>
  <c r="G377" i="70"/>
  <c r="F377" i="70"/>
  <c r="F376" i="70"/>
  <c r="F375" i="70"/>
  <c r="F374" i="70"/>
  <c r="F373" i="70"/>
  <c r="F372" i="70" s="1"/>
  <c r="F371" i="70" s="1"/>
  <c r="F370" i="70" s="1"/>
  <c r="J372" i="70"/>
  <c r="I372" i="70"/>
  <c r="H372" i="70"/>
  <c r="G372" i="70"/>
  <c r="G371" i="70" s="1"/>
  <c r="G370" i="70" s="1"/>
  <c r="H371" i="70"/>
  <c r="H370" i="70" s="1"/>
  <c r="I370" i="70"/>
  <c r="F369" i="70"/>
  <c r="F368" i="70"/>
  <c r="F367" i="70" s="1"/>
  <c r="J367" i="70"/>
  <c r="I367" i="70"/>
  <c r="H367" i="70"/>
  <c r="G367" i="70"/>
  <c r="G366" i="70"/>
  <c r="F366" i="70"/>
  <c r="F365" i="70"/>
  <c r="F364" i="70" s="1"/>
  <c r="J364" i="70"/>
  <c r="I364" i="70"/>
  <c r="H364" i="70"/>
  <c r="G364" i="70"/>
  <c r="F363" i="70"/>
  <c r="F362" i="70"/>
  <c r="F361" i="70" s="1"/>
  <c r="F360" i="70" s="1"/>
  <c r="F359" i="70" s="1"/>
  <c r="J361" i="70"/>
  <c r="J360" i="70" s="1"/>
  <c r="J359" i="70" s="1"/>
  <c r="I361" i="70"/>
  <c r="H361" i="70"/>
  <c r="G361" i="70"/>
  <c r="I360" i="70"/>
  <c r="H360" i="70"/>
  <c r="H359" i="70" s="1"/>
  <c r="G360" i="70"/>
  <c r="G359" i="70" s="1"/>
  <c r="I359" i="70"/>
  <c r="F358" i="70"/>
  <c r="F357" i="70"/>
  <c r="F356" i="70" s="1"/>
  <c r="J356" i="70"/>
  <c r="I356" i="70"/>
  <c r="H356" i="70"/>
  <c r="G356" i="70"/>
  <c r="G355" i="70"/>
  <c r="F355" i="70"/>
  <c r="F354" i="70"/>
  <c r="F353" i="70" s="1"/>
  <c r="J353" i="70"/>
  <c r="I353" i="70"/>
  <c r="H353" i="70"/>
  <c r="G353" i="70"/>
  <c r="G349" i="70" s="1"/>
  <c r="G348" i="70" s="1"/>
  <c r="F352" i="70"/>
  <c r="F351" i="70"/>
  <c r="J350" i="70"/>
  <c r="J349" i="70" s="1"/>
  <c r="J348" i="70" s="1"/>
  <c r="I350" i="70"/>
  <c r="H350" i="70"/>
  <c r="G350" i="70"/>
  <c r="F350" i="70"/>
  <c r="I349" i="70"/>
  <c r="H349" i="70"/>
  <c r="H348" i="70" s="1"/>
  <c r="I348" i="70"/>
  <c r="F347" i="70"/>
  <c r="F346" i="70"/>
  <c r="J345" i="70"/>
  <c r="I345" i="70"/>
  <c r="H345" i="70"/>
  <c r="G345" i="70"/>
  <c r="F344" i="70"/>
  <c r="F343" i="70"/>
  <c r="F342" i="70"/>
  <c r="F341" i="70"/>
  <c r="F340" i="70"/>
  <c r="F339" i="70"/>
  <c r="F338" i="70"/>
  <c r="F337" i="70"/>
  <c r="F336" i="70"/>
  <c r="F335" i="70"/>
  <c r="J334" i="70"/>
  <c r="I334" i="70"/>
  <c r="H334" i="70"/>
  <c r="H326" i="70" s="1"/>
  <c r="H325" i="70" s="1"/>
  <c r="G334" i="70"/>
  <c r="G326" i="70" s="1"/>
  <c r="G325" i="70" s="1"/>
  <c r="F334" i="70"/>
  <c r="F333" i="70"/>
  <c r="F332" i="70"/>
  <c r="F331" i="70"/>
  <c r="F330" i="70"/>
  <c r="F327" i="70" s="1"/>
  <c r="F326" i="70" s="1"/>
  <c r="F329" i="70"/>
  <c r="F328" i="70"/>
  <c r="J327" i="70"/>
  <c r="I327" i="70"/>
  <c r="I326" i="70" s="1"/>
  <c r="H327" i="70"/>
  <c r="G327" i="70"/>
  <c r="J326" i="70"/>
  <c r="J325" i="70" s="1"/>
  <c r="I325" i="70"/>
  <c r="F324" i="70"/>
  <c r="F323" i="70"/>
  <c r="F322" i="70" s="1"/>
  <c r="J322" i="70"/>
  <c r="I322" i="70"/>
  <c r="H322" i="70"/>
  <c r="H302" i="70" s="1"/>
  <c r="G322" i="70"/>
  <c r="F321" i="70"/>
  <c r="F320" i="70"/>
  <c r="F319" i="70"/>
  <c r="F318" i="70"/>
  <c r="F317" i="70"/>
  <c r="F316" i="70"/>
  <c r="F315" i="70"/>
  <c r="F314" i="70"/>
  <c r="F313" i="70"/>
  <c r="F312" i="70"/>
  <c r="J311" i="70"/>
  <c r="I311" i="70"/>
  <c r="H311" i="70"/>
  <c r="G311" i="70"/>
  <c r="G303" i="70" s="1"/>
  <c r="G302" i="70" s="1"/>
  <c r="F311" i="70"/>
  <c r="F310" i="70"/>
  <c r="F309" i="70"/>
  <c r="F308" i="70"/>
  <c r="F307" i="70"/>
  <c r="F304" i="70" s="1"/>
  <c r="F303" i="70" s="1"/>
  <c r="F306" i="70"/>
  <c r="F305" i="70"/>
  <c r="J304" i="70"/>
  <c r="I304" i="70"/>
  <c r="I303" i="70" s="1"/>
  <c r="I302" i="70" s="1"/>
  <c r="H304" i="70"/>
  <c r="H303" i="70" s="1"/>
  <c r="G304" i="70"/>
  <c r="J303" i="70"/>
  <c r="J302" i="70"/>
  <c r="F301" i="70"/>
  <c r="F300" i="70"/>
  <c r="J299" i="70"/>
  <c r="I299" i="70"/>
  <c r="H299" i="70"/>
  <c r="G299" i="70"/>
  <c r="F299" i="70"/>
  <c r="F298" i="70"/>
  <c r="F297" i="70"/>
  <c r="F296" i="70"/>
  <c r="F295" i="70"/>
  <c r="F294" i="70"/>
  <c r="F293" i="70"/>
  <c r="F292" i="70"/>
  <c r="F291" i="70"/>
  <c r="F290" i="70"/>
  <c r="F288" i="70" s="1"/>
  <c r="F280" i="70" s="1"/>
  <c r="F279" i="70" s="1"/>
  <c r="F289" i="70"/>
  <c r="J288" i="70"/>
  <c r="I288" i="70"/>
  <c r="I280" i="70" s="1"/>
  <c r="I279" i="70" s="1"/>
  <c r="H288" i="70"/>
  <c r="H280" i="70" s="1"/>
  <c r="H279" i="70" s="1"/>
  <c r="G288" i="70"/>
  <c r="F287" i="70"/>
  <c r="F286" i="70"/>
  <c r="F285" i="70"/>
  <c r="F284" i="70"/>
  <c r="F283" i="70"/>
  <c r="F282" i="70"/>
  <c r="F281" i="70" s="1"/>
  <c r="J281" i="70"/>
  <c r="I281" i="70"/>
  <c r="H281" i="70"/>
  <c r="G281" i="70"/>
  <c r="G280" i="70" s="1"/>
  <c r="G279" i="70" s="1"/>
  <c r="J280" i="70"/>
  <c r="J279" i="70"/>
  <c r="F278" i="70"/>
  <c r="F276" i="70" s="1"/>
  <c r="F277" i="70"/>
  <c r="J276" i="70"/>
  <c r="I276" i="70"/>
  <c r="H276" i="70"/>
  <c r="G276" i="70"/>
  <c r="F275" i="70"/>
  <c r="F274" i="70"/>
  <c r="F273" i="70"/>
  <c r="F272" i="70"/>
  <c r="F271" i="70"/>
  <c r="F270" i="70"/>
  <c r="F269" i="70"/>
  <c r="F268" i="70"/>
  <c r="F267" i="70"/>
  <c r="F266" i="70"/>
  <c r="F265" i="70" s="1"/>
  <c r="J265" i="70"/>
  <c r="I265" i="70"/>
  <c r="H265" i="70"/>
  <c r="H257" i="70" s="1"/>
  <c r="H256" i="70" s="1"/>
  <c r="G265" i="70"/>
  <c r="G257" i="70" s="1"/>
  <c r="G256" i="70" s="1"/>
  <c r="F264" i="70"/>
  <c r="F263" i="70"/>
  <c r="F262" i="70"/>
  <c r="F261" i="70"/>
  <c r="F260" i="70"/>
  <c r="F259" i="70"/>
  <c r="J258" i="70"/>
  <c r="J257" i="70" s="1"/>
  <c r="I258" i="70"/>
  <c r="H258" i="70"/>
  <c r="G258" i="70"/>
  <c r="F258" i="70"/>
  <c r="I257" i="70"/>
  <c r="J256" i="70"/>
  <c r="I256" i="70"/>
  <c r="F255" i="70"/>
  <c r="F254" i="70"/>
  <c r="F253" i="70" s="1"/>
  <c r="J253" i="70"/>
  <c r="I253" i="70"/>
  <c r="H253" i="70"/>
  <c r="G253" i="70"/>
  <c r="G237" i="70" s="1"/>
  <c r="F252" i="70"/>
  <c r="F251" i="70"/>
  <c r="F250" i="70"/>
  <c r="F249" i="70"/>
  <c r="F248" i="70"/>
  <c r="F247" i="70"/>
  <c r="F246" i="70"/>
  <c r="F244" i="70" s="1"/>
  <c r="F245" i="70"/>
  <c r="J244" i="70"/>
  <c r="I244" i="70"/>
  <c r="H244" i="70"/>
  <c r="G244" i="70"/>
  <c r="F243" i="70"/>
  <c r="F242" i="70"/>
  <c r="F239" i="70" s="1"/>
  <c r="F241" i="70"/>
  <c r="F240" i="70"/>
  <c r="J239" i="70"/>
  <c r="I239" i="70"/>
  <c r="I238" i="70" s="1"/>
  <c r="H239" i="70"/>
  <c r="G239" i="70"/>
  <c r="J238" i="70"/>
  <c r="J237" i="70" s="1"/>
  <c r="H238" i="70"/>
  <c r="G238" i="70"/>
  <c r="I237" i="70"/>
  <c r="H237" i="70"/>
  <c r="F236" i="70"/>
  <c r="F235" i="70"/>
  <c r="F234" i="70"/>
  <c r="F233" i="70" s="1"/>
  <c r="J233" i="70"/>
  <c r="I233" i="70"/>
  <c r="H233" i="70"/>
  <c r="G233" i="70"/>
  <c r="F232" i="70"/>
  <c r="F231" i="70"/>
  <c r="F230" i="70"/>
  <c r="F229" i="70" s="1"/>
  <c r="J229" i="70"/>
  <c r="I229" i="70"/>
  <c r="H229" i="70"/>
  <c r="H224" i="70" s="1"/>
  <c r="H223" i="70" s="1"/>
  <c r="G229" i="70"/>
  <c r="F228" i="70"/>
  <c r="F227" i="70"/>
  <c r="F226" i="70"/>
  <c r="J225" i="70"/>
  <c r="I225" i="70"/>
  <c r="H225" i="70"/>
  <c r="G225" i="70"/>
  <c r="J224" i="70"/>
  <c r="I224" i="70"/>
  <c r="J223" i="70"/>
  <c r="I223" i="70"/>
  <c r="F222" i="70"/>
  <c r="F220" i="70" s="1"/>
  <c r="F221" i="70"/>
  <c r="J220" i="70"/>
  <c r="I220" i="70"/>
  <c r="H220" i="70"/>
  <c r="G220" i="70"/>
  <c r="F219" i="70"/>
  <c r="F218" i="70"/>
  <c r="F217" i="70"/>
  <c r="F216" i="70"/>
  <c r="F215" i="70"/>
  <c r="F214" i="70"/>
  <c r="F211" i="70" s="1"/>
  <c r="F204" i="70" s="1"/>
  <c r="F213" i="70"/>
  <c r="F212" i="70"/>
  <c r="J211" i="70"/>
  <c r="I211" i="70"/>
  <c r="I204" i="70" s="1"/>
  <c r="I203" i="70" s="1"/>
  <c r="H211" i="70"/>
  <c r="G211" i="70"/>
  <c r="F210" i="70"/>
  <c r="F209" i="70"/>
  <c r="F208" i="70"/>
  <c r="F207" i="70"/>
  <c r="F206" i="70"/>
  <c r="F205" i="70" s="1"/>
  <c r="J205" i="70"/>
  <c r="I205" i="70"/>
  <c r="H205" i="70"/>
  <c r="G205" i="70"/>
  <c r="G204" i="70" s="1"/>
  <c r="G203" i="70" s="1"/>
  <c r="J204" i="70"/>
  <c r="H204" i="70"/>
  <c r="J203" i="70"/>
  <c r="F202" i="70"/>
  <c r="F201" i="70"/>
  <c r="F200" i="70"/>
  <c r="F199" i="70"/>
  <c r="J198" i="70"/>
  <c r="I198" i="70"/>
  <c r="H198" i="70"/>
  <c r="G198" i="70"/>
  <c r="F198" i="70"/>
  <c r="F197" i="70"/>
  <c r="F196" i="70"/>
  <c r="F195" i="70"/>
  <c r="J194" i="70"/>
  <c r="J191" i="70" s="1"/>
  <c r="J190" i="70" s="1"/>
  <c r="I194" i="70"/>
  <c r="H194" i="70"/>
  <c r="G194" i="70"/>
  <c r="G191" i="70" s="1"/>
  <c r="G190" i="70" s="1"/>
  <c r="F194" i="70"/>
  <c r="F191" i="70" s="1"/>
  <c r="F190" i="70" s="1"/>
  <c r="F193" i="70"/>
  <c r="J192" i="70"/>
  <c r="I192" i="70"/>
  <c r="H192" i="70"/>
  <c r="H191" i="70" s="1"/>
  <c r="G192" i="70"/>
  <c r="F192" i="70"/>
  <c r="I191" i="70"/>
  <c r="I190" i="70" s="1"/>
  <c r="H190" i="70"/>
  <c r="F189" i="70"/>
  <c r="F188" i="70"/>
  <c r="F186" i="70" s="1"/>
  <c r="F187" i="70"/>
  <c r="J186" i="70"/>
  <c r="I186" i="70"/>
  <c r="H186" i="70"/>
  <c r="G186" i="70"/>
  <c r="F185" i="70"/>
  <c r="F184" i="70"/>
  <c r="F182" i="70" s="1"/>
  <c r="F183" i="70"/>
  <c r="J182" i="70"/>
  <c r="I182" i="70"/>
  <c r="H182" i="70"/>
  <c r="G182" i="70"/>
  <c r="F181" i="70"/>
  <c r="F180" i="70"/>
  <c r="F178" i="70" s="1"/>
  <c r="F177" i="70" s="1"/>
  <c r="F176" i="70" s="1"/>
  <c r="F179" i="70"/>
  <c r="J178" i="70"/>
  <c r="J177" i="70" s="1"/>
  <c r="I178" i="70"/>
  <c r="H178" i="70"/>
  <c r="G178" i="70"/>
  <c r="I177" i="70"/>
  <c r="H177" i="70"/>
  <c r="G177" i="70"/>
  <c r="G176" i="70" s="1"/>
  <c r="J176" i="70"/>
  <c r="I176" i="70"/>
  <c r="H176" i="70"/>
  <c r="F175" i="70"/>
  <c r="F174" i="70"/>
  <c r="F172" i="70" s="1"/>
  <c r="F173" i="70"/>
  <c r="J172" i="70"/>
  <c r="I172" i="70"/>
  <c r="H172" i="70"/>
  <c r="G172" i="70"/>
  <c r="F171" i="70"/>
  <c r="F170" i="70"/>
  <c r="F168" i="70" s="1"/>
  <c r="F169" i="70"/>
  <c r="J168" i="70"/>
  <c r="I168" i="70"/>
  <c r="H168" i="70"/>
  <c r="G168" i="70"/>
  <c r="F167" i="70"/>
  <c r="F166" i="70"/>
  <c r="F163" i="70" s="1"/>
  <c r="F165" i="70"/>
  <c r="F164" i="70"/>
  <c r="J163" i="70"/>
  <c r="I163" i="70"/>
  <c r="H163" i="70"/>
  <c r="G163" i="70"/>
  <c r="F162" i="70"/>
  <c r="F161" i="70" s="1"/>
  <c r="J161" i="70"/>
  <c r="I161" i="70"/>
  <c r="H161" i="70"/>
  <c r="G161" i="70"/>
  <c r="F160" i="70"/>
  <c r="F159" i="70" s="1"/>
  <c r="J159" i="70"/>
  <c r="I159" i="70"/>
  <c r="H159" i="70"/>
  <c r="G159" i="70"/>
  <c r="J158" i="70"/>
  <c r="J157" i="70" s="1"/>
  <c r="H158" i="70"/>
  <c r="G158" i="70"/>
  <c r="H157" i="70"/>
  <c r="G157" i="70"/>
  <c r="F156" i="70"/>
  <c r="F155" i="70"/>
  <c r="J154" i="70"/>
  <c r="J144" i="70" s="1"/>
  <c r="I154" i="70"/>
  <c r="H154" i="70"/>
  <c r="G154" i="70"/>
  <c r="F154" i="70"/>
  <c r="F153" i="70"/>
  <c r="F152" i="70"/>
  <c r="F151" i="70"/>
  <c r="F150" i="70"/>
  <c r="F149" i="70" s="1"/>
  <c r="J149" i="70"/>
  <c r="I149" i="70"/>
  <c r="H149" i="70"/>
  <c r="G149" i="70"/>
  <c r="G145" i="70" s="1"/>
  <c r="G144" i="70" s="1"/>
  <c r="F148" i="70"/>
  <c r="F146" i="70" s="1"/>
  <c r="F145" i="70" s="1"/>
  <c r="F144" i="70" s="1"/>
  <c r="F147" i="70"/>
  <c r="J146" i="70"/>
  <c r="J145" i="70" s="1"/>
  <c r="I146" i="70"/>
  <c r="H146" i="70"/>
  <c r="G146" i="70"/>
  <c r="I145" i="70"/>
  <c r="H145" i="70"/>
  <c r="I144" i="70"/>
  <c r="H144" i="70"/>
  <c r="F143" i="70"/>
  <c r="F142" i="70"/>
  <c r="F140" i="70" s="1"/>
  <c r="F141" i="70"/>
  <c r="J140" i="70"/>
  <c r="I140" i="70"/>
  <c r="H140" i="70"/>
  <c r="G140" i="70"/>
  <c r="F139" i="70"/>
  <c r="F138" i="70"/>
  <c r="F137" i="70" s="1"/>
  <c r="J137" i="70"/>
  <c r="I137" i="70"/>
  <c r="H137" i="70"/>
  <c r="H132" i="70" s="1"/>
  <c r="H131" i="70" s="1"/>
  <c r="G137" i="70"/>
  <c r="F136" i="70"/>
  <c r="F135" i="70"/>
  <c r="F134" i="70"/>
  <c r="J133" i="70"/>
  <c r="I133" i="70"/>
  <c r="H133" i="70"/>
  <c r="G133" i="70"/>
  <c r="J132" i="70"/>
  <c r="I132" i="70"/>
  <c r="J131" i="70"/>
  <c r="I131" i="70"/>
  <c r="F130" i="70"/>
  <c r="F128" i="70" s="1"/>
  <c r="F129" i="70"/>
  <c r="J128" i="70"/>
  <c r="I128" i="70"/>
  <c r="H128" i="70"/>
  <c r="G128" i="70"/>
  <c r="F127" i="70"/>
  <c r="F126" i="70"/>
  <c r="F125" i="70"/>
  <c r="F124" i="70"/>
  <c r="F123" i="70"/>
  <c r="F122" i="70"/>
  <c r="F121" i="70"/>
  <c r="F120" i="70"/>
  <c r="F119" i="70"/>
  <c r="F118" i="70"/>
  <c r="F117" i="70"/>
  <c r="F116" i="70"/>
  <c r="F115" i="70"/>
  <c r="F114" i="70"/>
  <c r="F113" i="70"/>
  <c r="F112" i="70"/>
  <c r="F111" i="70"/>
  <c r="F110" i="70"/>
  <c r="F109" i="70"/>
  <c r="F108" i="70"/>
  <c r="F107" i="70"/>
  <c r="F106" i="70"/>
  <c r="F103" i="70" s="1"/>
  <c r="F105" i="70"/>
  <c r="F104" i="70"/>
  <c r="J103" i="70"/>
  <c r="I103" i="70"/>
  <c r="H103" i="70"/>
  <c r="G103" i="70"/>
  <c r="F102" i="70"/>
  <c r="F101" i="70"/>
  <c r="F100" i="70"/>
  <c r="F99" i="70"/>
  <c r="F98" i="70"/>
  <c r="F96" i="70" s="1"/>
  <c r="F95" i="70" s="1"/>
  <c r="F94" i="70" s="1"/>
  <c r="F97" i="70"/>
  <c r="J96" i="70"/>
  <c r="I96" i="70"/>
  <c r="H96" i="70"/>
  <c r="H95" i="70" s="1"/>
  <c r="G96" i="70"/>
  <c r="J95" i="70"/>
  <c r="I95" i="70"/>
  <c r="I94" i="70" s="1"/>
  <c r="G95" i="70"/>
  <c r="J94" i="70"/>
  <c r="H94" i="70"/>
  <c r="G94" i="70"/>
  <c r="F93" i="70"/>
  <c r="J92" i="70"/>
  <c r="I92" i="70"/>
  <c r="H92" i="70"/>
  <c r="G92" i="70"/>
  <c r="F92" i="70"/>
  <c r="F91" i="70"/>
  <c r="F90" i="70"/>
  <c r="J89" i="70"/>
  <c r="I89" i="70"/>
  <c r="H89" i="70"/>
  <c r="G89" i="70"/>
  <c r="F88" i="70"/>
  <c r="F87" i="70"/>
  <c r="F86" i="70"/>
  <c r="F85" i="70"/>
  <c r="F84" i="70"/>
  <c r="F83" i="70"/>
  <c r="F82" i="70"/>
  <c r="F80" i="70" s="1"/>
  <c r="F81" i="70"/>
  <c r="J80" i="70"/>
  <c r="I80" i="70"/>
  <c r="H80" i="70"/>
  <c r="H79" i="70" s="1"/>
  <c r="G80" i="70"/>
  <c r="J79" i="70"/>
  <c r="I79" i="70"/>
  <c r="I78" i="70" s="1"/>
  <c r="G79" i="70"/>
  <c r="J78" i="70"/>
  <c r="H78" i="70"/>
  <c r="G78" i="70"/>
  <c r="F77" i="70"/>
  <c r="F76" i="70"/>
  <c r="F75" i="70" s="1"/>
  <c r="J75" i="70"/>
  <c r="I75" i="70"/>
  <c r="H75" i="70"/>
  <c r="G75" i="70"/>
  <c r="F74" i="70"/>
  <c r="F73" i="70"/>
  <c r="F72" i="70"/>
  <c r="F71" i="70"/>
  <c r="F70" i="70"/>
  <c r="F69" i="70"/>
  <c r="F68" i="70"/>
  <c r="F66" i="70" s="1"/>
  <c r="F67" i="70"/>
  <c r="J66" i="70"/>
  <c r="I66" i="70"/>
  <c r="H66" i="70"/>
  <c r="G66" i="70"/>
  <c r="F65" i="70"/>
  <c r="F64" i="70"/>
  <c r="F62" i="70" s="1"/>
  <c r="F63" i="70"/>
  <c r="J62" i="70"/>
  <c r="J61" i="70" s="1"/>
  <c r="I62" i="70"/>
  <c r="H62" i="70"/>
  <c r="G62" i="70"/>
  <c r="I61" i="70"/>
  <c r="H61" i="70"/>
  <c r="G61" i="70"/>
  <c r="J60" i="70"/>
  <c r="I60" i="70"/>
  <c r="H60" i="70"/>
  <c r="F59" i="70"/>
  <c r="J58" i="70"/>
  <c r="I58" i="70"/>
  <c r="H58" i="70"/>
  <c r="G58" i="70"/>
  <c r="F58" i="70"/>
  <c r="F57" i="70"/>
  <c r="F56" i="70"/>
  <c r="F55" i="70"/>
  <c r="F54" i="70"/>
  <c r="F53" i="70" s="1"/>
  <c r="J53" i="70"/>
  <c r="I53" i="70"/>
  <c r="H53" i="70"/>
  <c r="H48" i="70" s="1"/>
  <c r="H47" i="70" s="1"/>
  <c r="G53" i="70"/>
  <c r="F52" i="70"/>
  <c r="F51" i="70"/>
  <c r="F50" i="70"/>
  <c r="J49" i="70"/>
  <c r="I49" i="70"/>
  <c r="H49" i="70"/>
  <c r="G49" i="70"/>
  <c r="J48" i="70"/>
  <c r="I48" i="70"/>
  <c r="J47" i="70"/>
  <c r="I47" i="70"/>
  <c r="F46" i="70"/>
  <c r="F44" i="70" s="1"/>
  <c r="F26" i="70" s="1"/>
  <c r="F45" i="70"/>
  <c r="J44" i="70"/>
  <c r="I44" i="70"/>
  <c r="H44" i="70"/>
  <c r="H26" i="70" s="1"/>
  <c r="G44" i="70"/>
  <c r="F43" i="70"/>
  <c r="F42" i="70"/>
  <c r="F41" i="70"/>
  <c r="F40" i="70"/>
  <c r="F39" i="70"/>
  <c r="F38" i="70"/>
  <c r="F37" i="70"/>
  <c r="F36" i="70"/>
  <c r="F35" i="70"/>
  <c r="F34" i="70"/>
  <c r="F33" i="70" s="1"/>
  <c r="J33" i="70"/>
  <c r="I33" i="70"/>
  <c r="H33" i="70"/>
  <c r="G33" i="70"/>
  <c r="F32" i="70"/>
  <c r="F31" i="70"/>
  <c r="F30" i="70"/>
  <c r="F29" i="70"/>
  <c r="J28" i="70"/>
  <c r="J27" i="70" s="1"/>
  <c r="J26" i="70" s="1"/>
  <c r="I28" i="70"/>
  <c r="H28" i="70"/>
  <c r="H27" i="70" s="1"/>
  <c r="G28" i="70"/>
  <c r="F28" i="70"/>
  <c r="I27" i="70"/>
  <c r="I26" i="70" s="1"/>
  <c r="G27" i="70"/>
  <c r="F27" i="70"/>
  <c r="G26" i="70"/>
  <c r="F25" i="70"/>
  <c r="F24" i="70"/>
  <c r="J23" i="70"/>
  <c r="I23" i="70"/>
  <c r="H23" i="70"/>
  <c r="G23" i="70"/>
  <c r="F23" i="70"/>
  <c r="F22" i="70"/>
  <c r="F19" i="70" s="1"/>
  <c r="F18" i="70" s="1"/>
  <c r="F21" i="70"/>
  <c r="F20" i="70"/>
  <c r="J19" i="70"/>
  <c r="I19" i="70"/>
  <c r="I18" i="70" s="1"/>
  <c r="H19" i="70"/>
  <c r="G19" i="70"/>
  <c r="J18" i="70"/>
  <c r="H18" i="70"/>
  <c r="G18" i="70"/>
  <c r="F17" i="70"/>
  <c r="F16" i="70"/>
  <c r="J15" i="70"/>
  <c r="I15" i="70"/>
  <c r="H15" i="70"/>
  <c r="G15" i="70"/>
  <c r="F15" i="70"/>
  <c r="F14" i="70"/>
  <c r="F11" i="70" s="1"/>
  <c r="F10" i="70" s="1"/>
  <c r="F13" i="70"/>
  <c r="F12" i="70"/>
  <c r="J11" i="70"/>
  <c r="I11" i="70"/>
  <c r="I10" i="70" s="1"/>
  <c r="H11" i="70"/>
  <c r="G11" i="70"/>
  <c r="J10" i="70"/>
  <c r="H10" i="70"/>
  <c r="G10" i="70"/>
  <c r="F158" i="70" l="1"/>
  <c r="F157" i="70" s="1"/>
  <c r="J708" i="70"/>
  <c r="F302" i="70"/>
  <c r="F605" i="70"/>
  <c r="F604" i="70" s="1"/>
  <c r="F61" i="70"/>
  <c r="F60" i="70" s="1"/>
  <c r="F203" i="70"/>
  <c r="F238" i="70"/>
  <c r="F237" i="70" s="1"/>
  <c r="F509" i="70"/>
  <c r="F726" i="70"/>
  <c r="F725" i="70" s="1"/>
  <c r="G725" i="70"/>
  <c r="F810" i="70"/>
  <c r="F808" i="70" s="1"/>
  <c r="H808" i="70"/>
  <c r="H815" i="70"/>
  <c r="F1384" i="70"/>
  <c r="F1383" i="70" s="1"/>
  <c r="F1535" i="70"/>
  <c r="I1533" i="70"/>
  <c r="I1536" i="70"/>
  <c r="I1513" i="70" s="1"/>
  <c r="F257" i="70"/>
  <c r="F256" i="70" s="1"/>
  <c r="G708" i="70"/>
  <c r="H1025" i="70"/>
  <c r="F1041" i="70"/>
  <c r="F1040" i="70" s="1"/>
  <c r="F1274" i="70"/>
  <c r="G1272" i="70"/>
  <c r="H1413" i="70"/>
  <c r="H1412" i="70" s="1"/>
  <c r="H1410" i="70" s="1"/>
  <c r="F1413" i="70"/>
  <c r="F1412" i="70" s="1"/>
  <c r="F1410" i="70" s="1"/>
  <c r="I1412" i="70"/>
  <c r="I1410" i="70" s="1"/>
  <c r="G1483" i="70"/>
  <c r="G48" i="70"/>
  <c r="G47" i="70" s="1"/>
  <c r="G8" i="70" s="1"/>
  <c r="G1547" i="70" s="1"/>
  <c r="F49" i="70"/>
  <c r="F48" i="70" s="1"/>
  <c r="F47" i="70" s="1"/>
  <c r="G132" i="70"/>
  <c r="G131" i="70" s="1"/>
  <c r="F133" i="70"/>
  <c r="F132" i="70" s="1"/>
  <c r="F131" i="70" s="1"/>
  <c r="I158" i="70"/>
  <c r="I157" i="70" s="1"/>
  <c r="I8" i="70" s="1"/>
  <c r="H203" i="70"/>
  <c r="G224" i="70"/>
  <c r="G223" i="70" s="1"/>
  <c r="F225" i="70"/>
  <c r="F224" i="70" s="1"/>
  <c r="F223" i="70" s="1"/>
  <c r="F349" i="70"/>
  <c r="F348" i="70" s="1"/>
  <c r="F581" i="70"/>
  <c r="F580" i="70" s="1"/>
  <c r="F801" i="70"/>
  <c r="H800" i="70"/>
  <c r="F825" i="70"/>
  <c r="F823" i="70" s="1"/>
  <c r="H823" i="70"/>
  <c r="F885" i="70"/>
  <c r="F883" i="70" s="1"/>
  <c r="H883" i="70"/>
  <c r="H875" i="70" s="1"/>
  <c r="I905" i="70"/>
  <c r="F950" i="70"/>
  <c r="G965" i="70"/>
  <c r="F980" i="70"/>
  <c r="F996" i="70"/>
  <c r="F995" i="70" s="1"/>
  <c r="H995" i="70"/>
  <c r="F1179" i="70"/>
  <c r="F1178" i="70" s="1"/>
  <c r="G1179" i="70"/>
  <c r="G1178" i="70" s="1"/>
  <c r="F1227" i="70"/>
  <c r="F1226" i="70" s="1"/>
  <c r="H1274" i="70"/>
  <c r="F1456" i="70"/>
  <c r="F1455" i="70" s="1"/>
  <c r="F1425" i="70" s="1"/>
  <c r="I1515" i="70"/>
  <c r="G60" i="70"/>
  <c r="F89" i="70"/>
  <c r="F79" i="70" s="1"/>
  <c r="F78" i="70" s="1"/>
  <c r="F345" i="70"/>
  <c r="F325" i="70" s="1"/>
  <c r="J371" i="70"/>
  <c r="J370" i="70" s="1"/>
  <c r="J8" i="70" s="1"/>
  <c r="J1547" i="70" s="1"/>
  <c r="F410" i="70"/>
  <c r="F409" i="70" s="1"/>
  <c r="F408" i="70" s="1"/>
  <c r="H445" i="70"/>
  <c r="H444" i="70" s="1"/>
  <c r="F446" i="70"/>
  <c r="F445" i="70" s="1"/>
  <c r="F444" i="70" s="1"/>
  <c r="F474" i="70"/>
  <c r="F462" i="70" s="1"/>
  <c r="F461" i="70" s="1"/>
  <c r="H484" i="70"/>
  <c r="H8" i="70" s="1"/>
  <c r="F486" i="70"/>
  <c r="F485" i="70" s="1"/>
  <c r="F484" i="70" s="1"/>
  <c r="F531" i="70"/>
  <c r="F681" i="70"/>
  <c r="F647" i="70" s="1"/>
  <c r="I685" i="70"/>
  <c r="I684" i="70" s="1"/>
  <c r="F718" i="70"/>
  <c r="F710" i="70" s="1"/>
  <c r="G740" i="70"/>
  <c r="F755" i="70"/>
  <c r="F771" i="70"/>
  <c r="F770" i="70" s="1"/>
  <c r="H770" i="70"/>
  <c r="I800" i="70"/>
  <c r="I708" i="70" s="1"/>
  <c r="F875" i="70"/>
  <c r="F891" i="70"/>
  <c r="F890" i="70" s="1"/>
  <c r="H890" i="70"/>
  <c r="F936" i="70"/>
  <c r="F935" i="70" s="1"/>
  <c r="G980" i="70"/>
  <c r="F1033" i="70"/>
  <c r="F1056" i="70"/>
  <c r="F1130" i="70"/>
  <c r="F1129" i="70" s="1"/>
  <c r="F1127" i="70" s="1"/>
  <c r="J1142" i="70"/>
  <c r="I1297" i="70"/>
  <c r="I1296" i="70" s="1"/>
  <c r="I1272" i="70" s="1"/>
  <c r="F1317" i="70"/>
  <c r="F1316" i="70" s="1"/>
  <c r="F1441" i="70"/>
  <c r="G1456" i="70"/>
  <c r="G1455" i="70" s="1"/>
  <c r="G1425" i="70" s="1"/>
  <c r="F1546" i="70"/>
  <c r="F1544" i="70" s="1"/>
  <c r="I1544" i="70"/>
  <c r="F612" i="70"/>
  <c r="I1316" i="70"/>
  <c r="I1455" i="70"/>
  <c r="I1425" i="70" s="1"/>
  <c r="F1484" i="70"/>
  <c r="F1483" i="70" s="1"/>
  <c r="H1515" i="70"/>
  <c r="H1513" i="70" s="1"/>
  <c r="F1533" i="70"/>
  <c r="F1515" i="70" s="1"/>
  <c r="F1540" i="70"/>
  <c r="F1537" i="70" s="1"/>
  <c r="F1536" i="70" s="1"/>
  <c r="F1513" i="70" s="1"/>
  <c r="I605" i="70"/>
  <c r="I604" i="70" s="1"/>
  <c r="F628" i="70"/>
  <c r="F627" i="70" s="1"/>
  <c r="F626" i="70" s="1"/>
  <c r="J648" i="70"/>
  <c r="J647" i="70" s="1"/>
  <c r="F700" i="70"/>
  <c r="F685" i="70" s="1"/>
  <c r="F684" i="70" s="1"/>
  <c r="G733" i="70"/>
  <c r="F733" i="70"/>
  <c r="F795" i="70"/>
  <c r="F793" i="70" s="1"/>
  <c r="F785" i="70" s="1"/>
  <c r="H793" i="70"/>
  <c r="H785" i="70" s="1"/>
  <c r="H708" i="70" s="1"/>
  <c r="F805" i="70"/>
  <c r="F820" i="70"/>
  <c r="F816" i="70" s="1"/>
  <c r="F815" i="70" s="1"/>
  <c r="F1026" i="70"/>
  <c r="F1063" i="70"/>
  <c r="F1072" i="70"/>
  <c r="F1071" i="70" s="1"/>
  <c r="F1070" i="70" s="1"/>
  <c r="F1101" i="70"/>
  <c r="F1100" i="70" s="1"/>
  <c r="G1144" i="70"/>
  <c r="G1142" i="70" s="1"/>
  <c r="F1145" i="70"/>
  <c r="F1144" i="70" s="1"/>
  <c r="F1142" i="70" s="1"/>
  <c r="F1153" i="70"/>
  <c r="F1152" i="70" s="1"/>
  <c r="H1179" i="70"/>
  <c r="H1178" i="70" s="1"/>
  <c r="H1142" i="70" s="1"/>
  <c r="H1227" i="70"/>
  <c r="H1226" i="70" s="1"/>
  <c r="F1310" i="70"/>
  <c r="F1297" i="70" s="1"/>
  <c r="F1296" i="70" s="1"/>
  <c r="F1432" i="70"/>
  <c r="F1428" i="70" s="1"/>
  <c r="F1427" i="70" s="1"/>
  <c r="F1087" i="70"/>
  <c r="F1086" i="70" s="1"/>
  <c r="F1085" i="70" s="1"/>
  <c r="H1340" i="70"/>
  <c r="H1339" i="70" s="1"/>
  <c r="F1452" i="70"/>
  <c r="F1460" i="70"/>
  <c r="J1484" i="70"/>
  <c r="J1483" i="70" s="1"/>
  <c r="I1547" i="70" l="1"/>
  <c r="F8" i="70"/>
  <c r="F1025" i="70"/>
  <c r="F800" i="70"/>
  <c r="F1055" i="70"/>
  <c r="F708" i="70" s="1"/>
  <c r="H1272" i="70"/>
  <c r="H1547" i="70" s="1"/>
  <c r="F1272" i="70"/>
  <c r="F1547" i="70" l="1"/>
  <c r="E36" i="54" l="1"/>
  <c r="H42" i="54"/>
  <c r="D22" i="69" l="1"/>
  <c r="C22" i="69"/>
  <c r="D17" i="69"/>
  <c r="C17" i="69"/>
  <c r="D15" i="69"/>
  <c r="C15" i="69"/>
  <c r="D7" i="69"/>
  <c r="C7" i="69"/>
  <c r="D4" i="69"/>
  <c r="D24" i="69" s="1"/>
  <c r="C4" i="69"/>
  <c r="C24" i="69" s="1"/>
  <c r="D181" i="68"/>
  <c r="E23" i="68"/>
  <c r="E22" i="68"/>
  <c r="G21" i="68"/>
  <c r="F21" i="68"/>
  <c r="E21" i="68"/>
  <c r="E20" i="68"/>
  <c r="E19" i="68"/>
  <c r="E18" i="68" s="1"/>
  <c r="E17" i="68" s="1"/>
  <c r="G18" i="68"/>
  <c r="F18" i="68"/>
  <c r="F17" i="68" s="1"/>
  <c r="F24" i="68" s="1"/>
  <c r="G17" i="68"/>
  <c r="G24" i="68" s="1"/>
  <c r="E16" i="68"/>
  <c r="E15" i="68"/>
  <c r="E14" i="68" s="1"/>
  <c r="E13" i="68" s="1"/>
  <c r="G14" i="68"/>
  <c r="F14" i="68"/>
  <c r="G13" i="68"/>
  <c r="F13" i="68"/>
  <c r="E12" i="68"/>
  <c r="E11" i="68"/>
  <c r="E10" i="68" s="1"/>
  <c r="E9" i="68" s="1"/>
  <c r="G10" i="68"/>
  <c r="F10" i="68"/>
  <c r="G9" i="68"/>
  <c r="F9" i="68"/>
  <c r="E8" i="68"/>
  <c r="E7" i="68"/>
  <c r="E6" i="68" s="1"/>
  <c r="E5" i="68" s="1"/>
  <c r="G6" i="68"/>
  <c r="F6" i="68"/>
  <c r="G5" i="68"/>
  <c r="F5" i="68"/>
  <c r="E225" i="67"/>
  <c r="G86" i="67"/>
  <c r="F86" i="67" s="1"/>
  <c r="E86" i="67" s="1"/>
  <c r="G85" i="67"/>
  <c r="F85" i="67"/>
  <c r="E85" i="67" s="1"/>
  <c r="G84" i="67"/>
  <c r="F84" i="67" s="1"/>
  <c r="E84" i="67" s="1"/>
  <c r="G83" i="67"/>
  <c r="F83" i="67"/>
  <c r="E83" i="67" s="1"/>
  <c r="G82" i="67"/>
  <c r="F82" i="67" s="1"/>
  <c r="E82" i="67" s="1"/>
  <c r="G81" i="67"/>
  <c r="F81" i="67"/>
  <c r="E81" i="67" s="1"/>
  <c r="G80" i="67"/>
  <c r="F80" i="67" s="1"/>
  <c r="E80" i="67" s="1"/>
  <c r="G79" i="67"/>
  <c r="F79" i="67" s="1"/>
  <c r="E79" i="67" s="1"/>
  <c r="G78" i="67"/>
  <c r="F78" i="67" s="1"/>
  <c r="E78" i="67" s="1"/>
  <c r="G77" i="67"/>
  <c r="F77" i="67"/>
  <c r="E77" i="67" s="1"/>
  <c r="G76" i="67"/>
  <c r="F76" i="67" s="1"/>
  <c r="E76" i="67" s="1"/>
  <c r="G75" i="67"/>
  <c r="F75" i="67" s="1"/>
  <c r="E75" i="67" s="1"/>
  <c r="G74" i="67"/>
  <c r="F74" i="67" s="1"/>
  <c r="E74" i="67" s="1"/>
  <c r="G73" i="67"/>
  <c r="F73" i="67"/>
  <c r="E73" i="67" s="1"/>
  <c r="G72" i="67"/>
  <c r="F72" i="67" s="1"/>
  <c r="E72" i="67" s="1"/>
  <c r="G71" i="67"/>
  <c r="F71" i="67" s="1"/>
  <c r="E71" i="67" s="1"/>
  <c r="G70" i="67"/>
  <c r="F70" i="67" s="1"/>
  <c r="E70" i="67" s="1"/>
  <c r="G69" i="67"/>
  <c r="F69" i="67"/>
  <c r="E69" i="67" s="1"/>
  <c r="F68" i="67"/>
  <c r="E68" i="67" s="1"/>
  <c r="K67" i="67"/>
  <c r="K66" i="67" s="1"/>
  <c r="I67" i="67"/>
  <c r="I66" i="67" s="1"/>
  <c r="H67" i="67"/>
  <c r="G67" i="67" s="1"/>
  <c r="F67" i="67" s="1"/>
  <c r="E67" i="67" s="1"/>
  <c r="H66" i="67"/>
  <c r="G65" i="67"/>
  <c r="F65" i="67" s="1"/>
  <c r="E65" i="67" s="1"/>
  <c r="G64" i="67"/>
  <c r="F64" i="67"/>
  <c r="E64" i="67" s="1"/>
  <c r="F63" i="67"/>
  <c r="E63" i="67" s="1"/>
  <c r="K62" i="67"/>
  <c r="K61" i="67" s="1"/>
  <c r="I62" i="67"/>
  <c r="I61" i="67" s="1"/>
  <c r="I87" i="67" s="1"/>
  <c r="H62" i="67"/>
  <c r="G62" i="67" s="1"/>
  <c r="F62" i="67" s="1"/>
  <c r="H61" i="67"/>
  <c r="G60" i="67"/>
  <c r="F60" i="67" s="1"/>
  <c r="E60" i="67" s="1"/>
  <c r="H59" i="67"/>
  <c r="G59" i="67"/>
  <c r="F59" i="67" s="1"/>
  <c r="E59" i="67" s="1"/>
  <c r="I58" i="67"/>
  <c r="H58" i="67"/>
  <c r="H55" i="67" s="1"/>
  <c r="G55" i="67" s="1"/>
  <c r="G57" i="67"/>
  <c r="F57" i="67" s="1"/>
  <c r="E56" i="67"/>
  <c r="L55" i="67"/>
  <c r="L87" i="67" s="1"/>
  <c r="I55" i="67"/>
  <c r="G54" i="67"/>
  <c r="F54" i="67" s="1"/>
  <c r="E54" i="67" s="1"/>
  <c r="G53" i="67"/>
  <c r="F53" i="67" s="1"/>
  <c r="E53" i="67" s="1"/>
  <c r="I52" i="67"/>
  <c r="G52" i="67" s="1"/>
  <c r="F52" i="67" s="1"/>
  <c r="E52" i="67" s="1"/>
  <c r="I51" i="67"/>
  <c r="G51" i="67" s="1"/>
  <c r="F51" i="67" s="1"/>
  <c r="E51" i="67" s="1"/>
  <c r="G50" i="67"/>
  <c r="F50" i="67" s="1"/>
  <c r="E50" i="67" s="1"/>
  <c r="G49" i="67"/>
  <c r="F49" i="67"/>
  <c r="E49" i="67" s="1"/>
  <c r="G48" i="67"/>
  <c r="F48" i="67"/>
  <c r="E48" i="67"/>
  <c r="G47" i="67"/>
  <c r="F47" i="67" s="1"/>
  <c r="E47" i="67" s="1"/>
  <c r="G46" i="67"/>
  <c r="F46" i="67" s="1"/>
  <c r="E46" i="67" s="1"/>
  <c r="G45" i="67"/>
  <c r="F45" i="67"/>
  <c r="E45" i="67" s="1"/>
  <c r="G44" i="67"/>
  <c r="F44" i="67" s="1"/>
  <c r="E44" i="67" s="1"/>
  <c r="G43" i="67"/>
  <c r="F43" i="67" s="1"/>
  <c r="E43" i="67" s="1"/>
  <c r="G42" i="67"/>
  <c r="F42" i="67" s="1"/>
  <c r="E42" i="67" s="1"/>
  <c r="G41" i="67"/>
  <c r="F41" i="67"/>
  <c r="E41" i="67" s="1"/>
  <c r="F40" i="67"/>
  <c r="E40" i="67" s="1"/>
  <c r="K39" i="67"/>
  <c r="K28" i="67" s="1"/>
  <c r="I39" i="67"/>
  <c r="H39" i="67"/>
  <c r="G39" i="67" s="1"/>
  <c r="F39" i="67" s="1"/>
  <c r="E39" i="67" s="1"/>
  <c r="G38" i="67"/>
  <c r="F38" i="67" s="1"/>
  <c r="E38" i="67" s="1"/>
  <c r="G37" i="67"/>
  <c r="F37" i="67" s="1"/>
  <c r="E37" i="67" s="1"/>
  <c r="G36" i="67"/>
  <c r="F36" i="67" s="1"/>
  <c r="E36" i="67" s="1"/>
  <c r="G35" i="67"/>
  <c r="F35" i="67"/>
  <c r="E35" i="67" s="1"/>
  <c r="G34" i="67"/>
  <c r="F34" i="67" s="1"/>
  <c r="E34" i="67" s="1"/>
  <c r="I33" i="67"/>
  <c r="H33" i="67"/>
  <c r="G33" i="67" s="1"/>
  <c r="F33" i="67" s="1"/>
  <c r="E33" i="67" s="1"/>
  <c r="G32" i="67"/>
  <c r="F32" i="67" s="1"/>
  <c r="E32" i="67" s="1"/>
  <c r="G31" i="67"/>
  <c r="F31" i="67" s="1"/>
  <c r="E31" i="67" s="1"/>
  <c r="G30" i="67"/>
  <c r="F30" i="67" s="1"/>
  <c r="E30" i="67" s="1"/>
  <c r="H29" i="67"/>
  <c r="G29" i="67"/>
  <c r="F29" i="67" s="1"/>
  <c r="E29" i="67" s="1"/>
  <c r="I28" i="67"/>
  <c r="H28" i="67"/>
  <c r="G28" i="67" s="1"/>
  <c r="H27" i="67"/>
  <c r="G27" i="67" s="1"/>
  <c r="F27" i="67" s="1"/>
  <c r="E27" i="67" s="1"/>
  <c r="H26" i="67"/>
  <c r="G26" i="67" s="1"/>
  <c r="F26" i="67" s="1"/>
  <c r="E26" i="67" s="1"/>
  <c r="H25" i="67"/>
  <c r="G25" i="67" s="1"/>
  <c r="F25" i="67" s="1"/>
  <c r="E25" i="67" s="1"/>
  <c r="H24" i="67"/>
  <c r="G24" i="67" s="1"/>
  <c r="F24" i="67" s="1"/>
  <c r="E24" i="67" s="1"/>
  <c r="H23" i="67"/>
  <c r="G23" i="67" s="1"/>
  <c r="F23" i="67" s="1"/>
  <c r="E23" i="67" s="1"/>
  <c r="G22" i="67"/>
  <c r="F22" i="67" s="1"/>
  <c r="E22" i="67" s="1"/>
  <c r="G21" i="67"/>
  <c r="F21" i="67" s="1"/>
  <c r="E21" i="67" s="1"/>
  <c r="G20" i="67"/>
  <c r="F20" i="67"/>
  <c r="E20" i="67" s="1"/>
  <c r="H19" i="67"/>
  <c r="G19" i="67"/>
  <c r="F19" i="67"/>
  <c r="E19" i="67" s="1"/>
  <c r="H18" i="67"/>
  <c r="G18" i="67"/>
  <c r="F18" i="67"/>
  <c r="E18" i="67" s="1"/>
  <c r="G17" i="67"/>
  <c r="F17" i="67"/>
  <c r="E17" i="67"/>
  <c r="G16" i="67"/>
  <c r="F16" i="67" s="1"/>
  <c r="E16" i="67" s="1"/>
  <c r="G15" i="67"/>
  <c r="F15" i="67" s="1"/>
  <c r="E15" i="67" s="1"/>
  <c r="G14" i="67"/>
  <c r="F14" i="67"/>
  <c r="E14" i="67" s="1"/>
  <c r="I13" i="67"/>
  <c r="H13" i="67"/>
  <c r="G13" i="67"/>
  <c r="F13" i="67" s="1"/>
  <c r="E13" i="67" s="1"/>
  <c r="F12" i="67"/>
  <c r="E12" i="67"/>
  <c r="J11" i="67"/>
  <c r="J87" i="67" s="1"/>
  <c r="I11" i="67"/>
  <c r="H11" i="67"/>
  <c r="G11" i="67"/>
  <c r="F11" i="67" s="1"/>
  <c r="E11" i="67" s="1"/>
  <c r="G10" i="67"/>
  <c r="F10" i="67"/>
  <c r="E10" i="67" s="1"/>
  <c r="G9" i="67"/>
  <c r="F9" i="67"/>
  <c r="E9" i="67"/>
  <c r="G8" i="67"/>
  <c r="F8" i="67" s="1"/>
  <c r="E8" i="67" s="1"/>
  <c r="H7" i="67"/>
  <c r="G7" i="67" s="1"/>
  <c r="F7" i="67" s="1"/>
  <c r="H6" i="67"/>
  <c r="G6" i="67" s="1"/>
  <c r="D160" i="66"/>
  <c r="E42" i="66"/>
  <c r="E41" i="66" s="1"/>
  <c r="E39" i="66"/>
  <c r="E38" i="66" s="1"/>
  <c r="E36" i="66"/>
  <c r="E34" i="66"/>
  <c r="E32" i="66"/>
  <c r="E31" i="66" s="1"/>
  <c r="E29" i="66"/>
  <c r="E28" i="66" s="1"/>
  <c r="E26" i="66"/>
  <c r="E24" i="66"/>
  <c r="E21" i="66" s="1"/>
  <c r="E22" i="66"/>
  <c r="E19" i="66"/>
  <c r="E18" i="66" s="1"/>
  <c r="E16" i="66"/>
  <c r="E15" i="66"/>
  <c r="E13" i="66"/>
  <c r="E11" i="66"/>
  <c r="E10" i="66" s="1"/>
  <c r="E8" i="66"/>
  <c r="E7" i="66"/>
  <c r="F35" i="65"/>
  <c r="E35" i="65"/>
  <c r="D34" i="65"/>
  <c r="D33" i="65"/>
  <c r="D32" i="65"/>
  <c r="D31" i="65"/>
  <c r="D30" i="65"/>
  <c r="D29" i="65"/>
  <c r="D28" i="65"/>
  <c r="D27" i="65"/>
  <c r="D26" i="65"/>
  <c r="D35" i="65" s="1"/>
  <c r="F21" i="65"/>
  <c r="E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8" i="65"/>
  <c r="D7" i="65"/>
  <c r="D21" i="65" s="1"/>
  <c r="F16" i="64"/>
  <c r="E16" i="64"/>
  <c r="D16" i="64"/>
  <c r="D15" i="64"/>
  <c r="F10" i="64"/>
  <c r="E10" i="64"/>
  <c r="D10" i="64"/>
  <c r="D9" i="64"/>
  <c r="D8" i="64"/>
  <c r="D7" i="64"/>
  <c r="K24" i="63"/>
  <c r="G23" i="63"/>
  <c r="F23" i="63" s="1"/>
  <c r="G22" i="63"/>
  <c r="G21" i="63" s="1"/>
  <c r="G24" i="63" s="1"/>
  <c r="K21" i="63"/>
  <c r="J21" i="63"/>
  <c r="J24" i="63" s="1"/>
  <c r="I21" i="63"/>
  <c r="I24" i="63" s="1"/>
  <c r="H21" i="63"/>
  <c r="H24" i="63" s="1"/>
  <c r="G20" i="63"/>
  <c r="G19" i="63" s="1"/>
  <c r="K19" i="63"/>
  <c r="J19" i="63"/>
  <c r="I19" i="63"/>
  <c r="H19" i="63"/>
  <c r="J10" i="63"/>
  <c r="J9" i="63" s="1"/>
  <c r="J13" i="63" s="1"/>
  <c r="J7" i="63"/>
  <c r="J6" i="63"/>
  <c r="E8" i="62"/>
  <c r="E7" i="62" s="1"/>
  <c r="E9" i="62" s="1"/>
  <c r="G7" i="62"/>
  <c r="G9" i="62" s="1"/>
  <c r="F7" i="62"/>
  <c r="F9" i="62" s="1"/>
  <c r="G7" i="60"/>
  <c r="F7" i="60"/>
  <c r="E6" i="60"/>
  <c r="E7" i="60" s="1"/>
  <c r="E57" i="67" l="1"/>
  <c r="F55" i="67"/>
  <c r="F28" i="67"/>
  <c r="E28" i="67" s="1"/>
  <c r="F61" i="67"/>
  <c r="E62" i="67"/>
  <c r="F6" i="67"/>
  <c r="E7" i="67"/>
  <c r="E6" i="67" s="1"/>
  <c r="K87" i="67"/>
  <c r="E24" i="68"/>
  <c r="E44" i="66"/>
  <c r="H87" i="67"/>
  <c r="G66" i="67"/>
  <c r="F66" i="67" s="1"/>
  <c r="E66" i="67" s="1"/>
  <c r="F20" i="63"/>
  <c r="F19" i="63" s="1"/>
  <c r="F22" i="63"/>
  <c r="F21" i="63" s="1"/>
  <c r="F24" i="63" s="1"/>
  <c r="G58" i="67"/>
  <c r="F58" i="67" s="1"/>
  <c r="E58" i="67" s="1"/>
  <c r="G61" i="67"/>
  <c r="G87" i="67" s="1"/>
  <c r="F2071" i="59"/>
  <c r="F364" i="59"/>
  <c r="F360" i="59"/>
  <c r="F367" i="59"/>
  <c r="F365" i="59"/>
  <c r="F363" i="59"/>
  <c r="F361" i="59"/>
  <c r="G361" i="59" s="1"/>
  <c r="F356" i="59"/>
  <c r="F354" i="59"/>
  <c r="F353" i="59"/>
  <c r="F352" i="59"/>
  <c r="F350" i="59"/>
  <c r="F349" i="59"/>
  <c r="G349" i="59" s="1"/>
  <c r="F1980" i="59"/>
  <c r="F1981" i="59"/>
  <c r="G1984" i="59"/>
  <c r="E1984" i="59"/>
  <c r="F1983" i="59"/>
  <c r="G1983" i="59" s="1"/>
  <c r="E1983" i="59"/>
  <c r="E1982" i="59" s="1"/>
  <c r="G1981" i="59"/>
  <c r="E1981" i="59"/>
  <c r="F1923" i="59"/>
  <c r="G1923" i="59" s="1"/>
  <c r="F1786" i="59"/>
  <c r="G1786" i="59" s="1"/>
  <c r="F1328" i="59"/>
  <c r="F1000" i="59"/>
  <c r="F996" i="59"/>
  <c r="F455" i="59"/>
  <c r="F406" i="59"/>
  <c r="F375" i="59"/>
  <c r="F15" i="59"/>
  <c r="F14" i="59"/>
  <c r="F13" i="59"/>
  <c r="F2069" i="59"/>
  <c r="G2069" i="59" s="1"/>
  <c r="E2069" i="59"/>
  <c r="F2068" i="59"/>
  <c r="E2068" i="59"/>
  <c r="G2068" i="59" s="1"/>
  <c r="G2057" i="59"/>
  <c r="G2056" i="59"/>
  <c r="F2056" i="59"/>
  <c r="E2056" i="59"/>
  <c r="E2055" i="59" s="1"/>
  <c r="E2054" i="59" s="1"/>
  <c r="F2055" i="59"/>
  <c r="G2055" i="59" s="1"/>
  <c r="G2053" i="59"/>
  <c r="G2052" i="59"/>
  <c r="G2051" i="59"/>
  <c r="F2051" i="59"/>
  <c r="E2051" i="59"/>
  <c r="G2049" i="59"/>
  <c r="G2048" i="59"/>
  <c r="G2047" i="59"/>
  <c r="E2047" i="59"/>
  <c r="F2046" i="59"/>
  <c r="E2046" i="59"/>
  <c r="G2044" i="59"/>
  <c r="G2043" i="59"/>
  <c r="G2042" i="59"/>
  <c r="F2042" i="59"/>
  <c r="E2042" i="59"/>
  <c r="G2040" i="59"/>
  <c r="G2039" i="59"/>
  <c r="F2038" i="59"/>
  <c r="E2038" i="59"/>
  <c r="F2037" i="59"/>
  <c r="G2034" i="59"/>
  <c r="E2034" i="59"/>
  <c r="F2033" i="59"/>
  <c r="E2033" i="59"/>
  <c r="E2032" i="59" s="1"/>
  <c r="E2031" i="59" s="1"/>
  <c r="F2028" i="59"/>
  <c r="E2028" i="59"/>
  <c r="G2026" i="59"/>
  <c r="G2025" i="59"/>
  <c r="F2024" i="59"/>
  <c r="E2024" i="59"/>
  <c r="G2024" i="59" s="1"/>
  <c r="G2022" i="59"/>
  <c r="F2021" i="59"/>
  <c r="E2021" i="59"/>
  <c r="G2021" i="59" s="1"/>
  <c r="E2020" i="59"/>
  <c r="E2019" i="59" s="1"/>
  <c r="E2018" i="59" s="1"/>
  <c r="F2015" i="59"/>
  <c r="E2015" i="59"/>
  <c r="G2013" i="59"/>
  <c r="F2012" i="59"/>
  <c r="E2012" i="59"/>
  <c r="G2010" i="59"/>
  <c r="G2009" i="59"/>
  <c r="G2008" i="59"/>
  <c r="G2007" i="59"/>
  <c r="G2006" i="59"/>
  <c r="G2005" i="59"/>
  <c r="G2004" i="59"/>
  <c r="G2003" i="59"/>
  <c r="G2002" i="59"/>
  <c r="G2001" i="59"/>
  <c r="G2000" i="59"/>
  <c r="G1999" i="59"/>
  <c r="G1998" i="59"/>
  <c r="G1997" i="59"/>
  <c r="G1996" i="59"/>
  <c r="G1995" i="59"/>
  <c r="F1995" i="59"/>
  <c r="E1995" i="59"/>
  <c r="G1993" i="59"/>
  <c r="G1992" i="59"/>
  <c r="G1991" i="59"/>
  <c r="G1990" i="59"/>
  <c r="G1989" i="59"/>
  <c r="G1988" i="59"/>
  <c r="F1988" i="59"/>
  <c r="E1988" i="59"/>
  <c r="F1987" i="59"/>
  <c r="E1987" i="59"/>
  <c r="E1986" i="59" s="1"/>
  <c r="E1985" i="59" s="1"/>
  <c r="E1980" i="59" s="1"/>
  <c r="G1979" i="59"/>
  <c r="G1978" i="59"/>
  <c r="F1977" i="59"/>
  <c r="E1977" i="59"/>
  <c r="G1977" i="59" s="1"/>
  <c r="G1975" i="59"/>
  <c r="E1975" i="59"/>
  <c r="G1974" i="59"/>
  <c r="G1973" i="59"/>
  <c r="G1972" i="59"/>
  <c r="F1971" i="59"/>
  <c r="E1971" i="59"/>
  <c r="F1970" i="59"/>
  <c r="G1968" i="59"/>
  <c r="G1967" i="59"/>
  <c r="G1966" i="59"/>
  <c r="G1965" i="59"/>
  <c r="G1964" i="59"/>
  <c r="G1963" i="59"/>
  <c r="G1962" i="59"/>
  <c r="G1961" i="59"/>
  <c r="G1960" i="59"/>
  <c r="G1959" i="59"/>
  <c r="G1958" i="59"/>
  <c r="G1957" i="59"/>
  <c r="G1956" i="59"/>
  <c r="G1955" i="59"/>
  <c r="G1954" i="59"/>
  <c r="G1953" i="59"/>
  <c r="G1952" i="59"/>
  <c r="G1951" i="59"/>
  <c r="F1950" i="59"/>
  <c r="E1950" i="59"/>
  <c r="G1950" i="59" s="1"/>
  <c r="G1948" i="59"/>
  <c r="G1947" i="59"/>
  <c r="F1946" i="59"/>
  <c r="E1946" i="59"/>
  <c r="G1944" i="59"/>
  <c r="G1943" i="59"/>
  <c r="F1942" i="59"/>
  <c r="E1942" i="59"/>
  <c r="G1940" i="59"/>
  <c r="G1939" i="59"/>
  <c r="G1938" i="59"/>
  <c r="G1937" i="59"/>
  <c r="F1937" i="59"/>
  <c r="E1937" i="59"/>
  <c r="F1936" i="59"/>
  <c r="F1935" i="59" s="1"/>
  <c r="F1934" i="59" s="1"/>
  <c r="G1933" i="59"/>
  <c r="G1932" i="59"/>
  <c r="G1931" i="59"/>
  <c r="G1930" i="59"/>
  <c r="F1930" i="59"/>
  <c r="E1930" i="59"/>
  <c r="G1928" i="59"/>
  <c r="G1927" i="59"/>
  <c r="F1927" i="59"/>
  <c r="E1927" i="59"/>
  <c r="F1926" i="59"/>
  <c r="F1925" i="59" s="1"/>
  <c r="E1926" i="59"/>
  <c r="E1925" i="59"/>
  <c r="E1924" i="59" s="1"/>
  <c r="F1922" i="59"/>
  <c r="E1922" i="59"/>
  <c r="E1921" i="59" s="1"/>
  <c r="G1919" i="59"/>
  <c r="G1918" i="59"/>
  <c r="G1917" i="59"/>
  <c r="F1916" i="59"/>
  <c r="E1916" i="59"/>
  <c r="E1915" i="59"/>
  <c r="G1913" i="59"/>
  <c r="F1912" i="59"/>
  <c r="E1912" i="59"/>
  <c r="E1911" i="59"/>
  <c r="G1909" i="59"/>
  <c r="G1908" i="59"/>
  <c r="F1907" i="59"/>
  <c r="F1906" i="59" s="1"/>
  <c r="E1907" i="59"/>
  <c r="E1906" i="59"/>
  <c r="G1904" i="59"/>
  <c r="F1903" i="59"/>
  <c r="E1903" i="59"/>
  <c r="E1902" i="59"/>
  <c r="G1900" i="59"/>
  <c r="G1899" i="59"/>
  <c r="F1898" i="59"/>
  <c r="E1898" i="59"/>
  <c r="E1897" i="59" s="1"/>
  <c r="E1896" i="59" s="1"/>
  <c r="G1895" i="59"/>
  <c r="G1894" i="59"/>
  <c r="G1893" i="59"/>
  <c r="F1892" i="59"/>
  <c r="E1892" i="59"/>
  <c r="E1891" i="59" s="1"/>
  <c r="E1890" i="59" s="1"/>
  <c r="G1889" i="59"/>
  <c r="G1888" i="59"/>
  <c r="F1887" i="59"/>
  <c r="E1887" i="59"/>
  <c r="G1887" i="59" s="1"/>
  <c r="G1885" i="59"/>
  <c r="G1884" i="59"/>
  <c r="G1883" i="59"/>
  <c r="G1882" i="59"/>
  <c r="F1881" i="59"/>
  <c r="E1881" i="59"/>
  <c r="E1880" i="59"/>
  <c r="G1878" i="59"/>
  <c r="G1877" i="59"/>
  <c r="G1876" i="59"/>
  <c r="G1875" i="59"/>
  <c r="F1875" i="59"/>
  <c r="E1875" i="59"/>
  <c r="E1874" i="59" s="1"/>
  <c r="F1874" i="59"/>
  <c r="G1872" i="59"/>
  <c r="G1871" i="59"/>
  <c r="G1870" i="59"/>
  <c r="F1870" i="59"/>
  <c r="E1870" i="59"/>
  <c r="F1869" i="59"/>
  <c r="F1868" i="59" s="1"/>
  <c r="G1868" i="59" s="1"/>
  <c r="E1869" i="59"/>
  <c r="E1868" i="59"/>
  <c r="G1867" i="59"/>
  <c r="F1866" i="59"/>
  <c r="E1866" i="59"/>
  <c r="E1865" i="59" s="1"/>
  <c r="G1863" i="59"/>
  <c r="G1862" i="59"/>
  <c r="F1861" i="59"/>
  <c r="E1861" i="59"/>
  <c r="E1860" i="59"/>
  <c r="G1858" i="59"/>
  <c r="G1857" i="59"/>
  <c r="G1856" i="59"/>
  <c r="F1856" i="59"/>
  <c r="E1856" i="59"/>
  <c r="G1854" i="59"/>
  <c r="G1853" i="59"/>
  <c r="F1852" i="59"/>
  <c r="E1852" i="59"/>
  <c r="E1851" i="59"/>
  <c r="E1850" i="59" s="1"/>
  <c r="E1848" i="59"/>
  <c r="F1847" i="59"/>
  <c r="G1844" i="59"/>
  <c r="G1843" i="59"/>
  <c r="F1843" i="59"/>
  <c r="E1843" i="59"/>
  <c r="G1841" i="59"/>
  <c r="G1840" i="59"/>
  <c r="F1840" i="59"/>
  <c r="G1839" i="59"/>
  <c r="G1838" i="59"/>
  <c r="G1837" i="59"/>
  <c r="F1837" i="59"/>
  <c r="E1837" i="59"/>
  <c r="F1836" i="59"/>
  <c r="E1836" i="59"/>
  <c r="E1835" i="59" s="1"/>
  <c r="G1833" i="59"/>
  <c r="G1832" i="59"/>
  <c r="G1831" i="59"/>
  <c r="F1831" i="59"/>
  <c r="E1831" i="59"/>
  <c r="G1829" i="59"/>
  <c r="G1828" i="59"/>
  <c r="G1827" i="59"/>
  <c r="F1826" i="59"/>
  <c r="E1826" i="59"/>
  <c r="E1825" i="59" s="1"/>
  <c r="E1824" i="59"/>
  <c r="E1823" i="59" s="1"/>
  <c r="G1822" i="59"/>
  <c r="F1821" i="59"/>
  <c r="E1821" i="59"/>
  <c r="F1816" i="59"/>
  <c r="E1816" i="59"/>
  <c r="E1815" i="59" s="1"/>
  <c r="E1814" i="59" s="1"/>
  <c r="E1813" i="59" s="1"/>
  <c r="G1812" i="59"/>
  <c r="F1811" i="59"/>
  <c r="E1811" i="59"/>
  <c r="F1810" i="59"/>
  <c r="G1808" i="59"/>
  <c r="F1807" i="59"/>
  <c r="E1807" i="59"/>
  <c r="E1801" i="59" s="1"/>
  <c r="E1800" i="59" s="1"/>
  <c r="G1805" i="59"/>
  <c r="G1804" i="59"/>
  <c r="G1803" i="59"/>
  <c r="G1802" i="59"/>
  <c r="F1802" i="59"/>
  <c r="E1802" i="59"/>
  <c r="G1798" i="59"/>
  <c r="F1797" i="59"/>
  <c r="F1796" i="59" s="1"/>
  <c r="F1795" i="59" s="1"/>
  <c r="G1795" i="59" s="1"/>
  <c r="E1797" i="59"/>
  <c r="E1796" i="59" s="1"/>
  <c r="E1795" i="59" s="1"/>
  <c r="G1794" i="59"/>
  <c r="F1793" i="59"/>
  <c r="F1792" i="59" s="1"/>
  <c r="E1793" i="59"/>
  <c r="E1792" i="59"/>
  <c r="E1791" i="59" s="1"/>
  <c r="E1790" i="59" s="1"/>
  <c r="G1789" i="59"/>
  <c r="F1788" i="59"/>
  <c r="G1788" i="59" s="1"/>
  <c r="E1788" i="59"/>
  <c r="E1786" i="59"/>
  <c r="G1785" i="59"/>
  <c r="E1785" i="59"/>
  <c r="E1784" i="59"/>
  <c r="G1780" i="59"/>
  <c r="F1779" i="59"/>
  <c r="F1778" i="59" s="1"/>
  <c r="E1779" i="59"/>
  <c r="E1778" i="59"/>
  <c r="E1777" i="59" s="1"/>
  <c r="F1773" i="59"/>
  <c r="F1772" i="59" s="1"/>
  <c r="F1771" i="59" s="1"/>
  <c r="F1770" i="59" s="1"/>
  <c r="E1773" i="59"/>
  <c r="E1772" i="59"/>
  <c r="E1771" i="59" s="1"/>
  <c r="E1770" i="59"/>
  <c r="G1768" i="59"/>
  <c r="G1767" i="59"/>
  <c r="G1766" i="59"/>
  <c r="F1765" i="59"/>
  <c r="E1765" i="59"/>
  <c r="G1763" i="59"/>
  <c r="F1762" i="59"/>
  <c r="E1762" i="59"/>
  <c r="E1761" i="59" s="1"/>
  <c r="E1760" i="59" s="1"/>
  <c r="E1759" i="59" s="1"/>
  <c r="G1758" i="59"/>
  <c r="G1757" i="59"/>
  <c r="F1757" i="59"/>
  <c r="E1757" i="59"/>
  <c r="G1755" i="59"/>
  <c r="G1754" i="59"/>
  <c r="G1753" i="59"/>
  <c r="G1752" i="59"/>
  <c r="G1751" i="59"/>
  <c r="G1750" i="59"/>
  <c r="G1749" i="59"/>
  <c r="G1748" i="59"/>
  <c r="G1747" i="59"/>
  <c r="G1746" i="59"/>
  <c r="G1745" i="59"/>
  <c r="G1743" i="59"/>
  <c r="G1742" i="59"/>
  <c r="G1741" i="59"/>
  <c r="F1740" i="59"/>
  <c r="E1740" i="59"/>
  <c r="G1738" i="59"/>
  <c r="G1737" i="59"/>
  <c r="G1736" i="59"/>
  <c r="G1735" i="59"/>
  <c r="G1734" i="59"/>
  <c r="F1734" i="59"/>
  <c r="E1734" i="59"/>
  <c r="F1733" i="59"/>
  <c r="F1732" i="59"/>
  <c r="G1730" i="59"/>
  <c r="G1729" i="59"/>
  <c r="G1728" i="59"/>
  <c r="G1727" i="59"/>
  <c r="G1726" i="59"/>
  <c r="G1725" i="59"/>
  <c r="G1723" i="59"/>
  <c r="G1722" i="59"/>
  <c r="G1721" i="59"/>
  <c r="G1720" i="59"/>
  <c r="F1720" i="59"/>
  <c r="E1720" i="59"/>
  <c r="G1718" i="59"/>
  <c r="G1717" i="59"/>
  <c r="F1717" i="59"/>
  <c r="E1717" i="59"/>
  <c r="F1716" i="59"/>
  <c r="F1715" i="59" s="1"/>
  <c r="G1714" i="59"/>
  <c r="G1713" i="59"/>
  <c r="F1712" i="59"/>
  <c r="E1712" i="59"/>
  <c r="E1711" i="59"/>
  <c r="E1710" i="59" s="1"/>
  <c r="E1709" i="59" s="1"/>
  <c r="G1707" i="59"/>
  <c r="F1706" i="59"/>
  <c r="F1705" i="59" s="1"/>
  <c r="E1706" i="59"/>
  <c r="E1705" i="59" s="1"/>
  <c r="E1704" i="59"/>
  <c r="G1703" i="59"/>
  <c r="G1702" i="59"/>
  <c r="G1701" i="59"/>
  <c r="G1700" i="59"/>
  <c r="G1699" i="59"/>
  <c r="G1698" i="59"/>
  <c r="G1697" i="59"/>
  <c r="G1696" i="59"/>
  <c r="G1695" i="59"/>
  <c r="G1694" i="59"/>
  <c r="G1693" i="59"/>
  <c r="G1692" i="59"/>
  <c r="G1691" i="59"/>
  <c r="G1690" i="59"/>
  <c r="G1689" i="59"/>
  <c r="G1688" i="59"/>
  <c r="G1687" i="59"/>
  <c r="G1686" i="59"/>
  <c r="G1685" i="59"/>
  <c r="G1684" i="59"/>
  <c r="G1683" i="59"/>
  <c r="G1682" i="59"/>
  <c r="G1681" i="59"/>
  <c r="G1680" i="59"/>
  <c r="F1680" i="59"/>
  <c r="E1680" i="59"/>
  <c r="F1679" i="59"/>
  <c r="E1679" i="59"/>
  <c r="E1678" i="59" s="1"/>
  <c r="G1677" i="59"/>
  <c r="G1676" i="59"/>
  <c r="F1676" i="59"/>
  <c r="E1676" i="59"/>
  <c r="G1674" i="59"/>
  <c r="G1673" i="59"/>
  <c r="G1672" i="59"/>
  <c r="G1671" i="59"/>
  <c r="G1670" i="59"/>
  <c r="G1669" i="59"/>
  <c r="G1668" i="59"/>
  <c r="F1667" i="59"/>
  <c r="E1667" i="59"/>
  <c r="E1660" i="59" s="1"/>
  <c r="E1659" i="59" s="1"/>
  <c r="E1658" i="59" s="1"/>
  <c r="G1665" i="59"/>
  <c r="G1664" i="59"/>
  <c r="G1663" i="59"/>
  <c r="G1662" i="59"/>
  <c r="F1661" i="59"/>
  <c r="E1661" i="59"/>
  <c r="G1656" i="59"/>
  <c r="G1655" i="59"/>
  <c r="F1654" i="59"/>
  <c r="F1653" i="59" s="1"/>
  <c r="E1654" i="59"/>
  <c r="E1653" i="59" s="1"/>
  <c r="G1651" i="59"/>
  <c r="G1650" i="59"/>
  <c r="G1649" i="59"/>
  <c r="G1648" i="59"/>
  <c r="G1647" i="59"/>
  <c r="G1646" i="59"/>
  <c r="G1645" i="59"/>
  <c r="G1644" i="59"/>
  <c r="G1643" i="59"/>
  <c r="G1642" i="59"/>
  <c r="G1641" i="59"/>
  <c r="G1640" i="59"/>
  <c r="G1639" i="59"/>
  <c r="G1638" i="59"/>
  <c r="G1635" i="59"/>
  <c r="G1634" i="59"/>
  <c r="G1633" i="59"/>
  <c r="F1633" i="59"/>
  <c r="E1633" i="59"/>
  <c r="E1631" i="59"/>
  <c r="G1631" i="59" s="1"/>
  <c r="E1630" i="59"/>
  <c r="G1630" i="59" s="1"/>
  <c r="G1629" i="59"/>
  <c r="G1628" i="59"/>
  <c r="F1627" i="59"/>
  <c r="E1627" i="59"/>
  <c r="E1626" i="59" s="1"/>
  <c r="E1625" i="59" s="1"/>
  <c r="E1623" i="59"/>
  <c r="G1623" i="59" s="1"/>
  <c r="G1622" i="59"/>
  <c r="E1622" i="59"/>
  <c r="F1621" i="59"/>
  <c r="E1621" i="59"/>
  <c r="G1619" i="59"/>
  <c r="E1619" i="59"/>
  <c r="E1618" i="59"/>
  <c r="G1617" i="59"/>
  <c r="G1616" i="59"/>
  <c r="F1615" i="59"/>
  <c r="G1612" i="59"/>
  <c r="F1612" i="59"/>
  <c r="E1612" i="59"/>
  <c r="F1611" i="59"/>
  <c r="G1611" i="59" s="1"/>
  <c r="E1611" i="59"/>
  <c r="F1610" i="59"/>
  <c r="G1610" i="59" s="1"/>
  <c r="E1610" i="59"/>
  <c r="F1609" i="59"/>
  <c r="G1609" i="59" s="1"/>
  <c r="E1609" i="59"/>
  <c r="G1608" i="59"/>
  <c r="F1608" i="59"/>
  <c r="E1608" i="59"/>
  <c r="F1607" i="59"/>
  <c r="G1607" i="59" s="1"/>
  <c r="E1607" i="59"/>
  <c r="F1606" i="59"/>
  <c r="E1606" i="59"/>
  <c r="G1606" i="59" s="1"/>
  <c r="F1605" i="59"/>
  <c r="G1605" i="59" s="1"/>
  <c r="E1605" i="59"/>
  <c r="F1604" i="59"/>
  <c r="E1604" i="59"/>
  <c r="G1604" i="59" s="1"/>
  <c r="G1603" i="59"/>
  <c r="F1603" i="59"/>
  <c r="E1603" i="59"/>
  <c r="G1602" i="59"/>
  <c r="G1601" i="59"/>
  <c r="F1600" i="59"/>
  <c r="E1600" i="59"/>
  <c r="G1600" i="59" s="1"/>
  <c r="G1599" i="59"/>
  <c r="F1599" i="59"/>
  <c r="E1599" i="59"/>
  <c r="G1598" i="59"/>
  <c r="F1598" i="59"/>
  <c r="E1598" i="59"/>
  <c r="F1597" i="59"/>
  <c r="G1597" i="59" s="1"/>
  <c r="E1597" i="59"/>
  <c r="F1596" i="59"/>
  <c r="E1596" i="59"/>
  <c r="G1596" i="59" s="1"/>
  <c r="G1595" i="59"/>
  <c r="F1595" i="59"/>
  <c r="E1595" i="59"/>
  <c r="G1594" i="59"/>
  <c r="F1594" i="59"/>
  <c r="E1594" i="59"/>
  <c r="F1593" i="59"/>
  <c r="E1593" i="59"/>
  <c r="G1592" i="59"/>
  <c r="F1592" i="59"/>
  <c r="E1592" i="59"/>
  <c r="G1591" i="59"/>
  <c r="F1591" i="59"/>
  <c r="E1591" i="59"/>
  <c r="F1590" i="59"/>
  <c r="E1590" i="59"/>
  <c r="F1589" i="59"/>
  <c r="G1589" i="59" s="1"/>
  <c r="E1589" i="59"/>
  <c r="G1588" i="59"/>
  <c r="F1588" i="59"/>
  <c r="E1588" i="59"/>
  <c r="F1587" i="59"/>
  <c r="G1587" i="59" s="1"/>
  <c r="E1587" i="59"/>
  <c r="F1586" i="59"/>
  <c r="E1586" i="59"/>
  <c r="G1586" i="59" s="1"/>
  <c r="F1585" i="59"/>
  <c r="G1585" i="59" s="1"/>
  <c r="E1585" i="59"/>
  <c r="F1584" i="59"/>
  <c r="E1584" i="59"/>
  <c r="G1584" i="59" s="1"/>
  <c r="G1583" i="59"/>
  <c r="F1583" i="59"/>
  <c r="E1583" i="59"/>
  <c r="G1582" i="59"/>
  <c r="F1582" i="59"/>
  <c r="E1582" i="59"/>
  <c r="F1581" i="59"/>
  <c r="G1581" i="59" s="1"/>
  <c r="E1581" i="59"/>
  <c r="F1580" i="59"/>
  <c r="E1580" i="59"/>
  <c r="G1580" i="59" s="1"/>
  <c r="G1579" i="59"/>
  <c r="F1579" i="59"/>
  <c r="E1579" i="59"/>
  <c r="F1578" i="59"/>
  <c r="G1578" i="59" s="1"/>
  <c r="E1578" i="59"/>
  <c r="F1577" i="59"/>
  <c r="E1577" i="59"/>
  <c r="G1576" i="59"/>
  <c r="F1576" i="59"/>
  <c r="E1576" i="59"/>
  <c r="F1575" i="59"/>
  <c r="E1575" i="59"/>
  <c r="G1572" i="59"/>
  <c r="G1571" i="59"/>
  <c r="F1570" i="59"/>
  <c r="G1570" i="59" s="1"/>
  <c r="E1570" i="59"/>
  <c r="G1568" i="59"/>
  <c r="G1567" i="59"/>
  <c r="G1566" i="59"/>
  <c r="G1565" i="59"/>
  <c r="G1564" i="59"/>
  <c r="G1563" i="59"/>
  <c r="G1562" i="59"/>
  <c r="G1561" i="59"/>
  <c r="G1560" i="59"/>
  <c r="G1559" i="59"/>
  <c r="G1558" i="59"/>
  <c r="G1557" i="59"/>
  <c r="G1556" i="59"/>
  <c r="G1555" i="59"/>
  <c r="G1554" i="59"/>
  <c r="G1553" i="59"/>
  <c r="G1552" i="59"/>
  <c r="G1551" i="59"/>
  <c r="G1550" i="59"/>
  <c r="F1549" i="59"/>
  <c r="G1549" i="59" s="1"/>
  <c r="E1549" i="59"/>
  <c r="G1547" i="59"/>
  <c r="G1546" i="59"/>
  <c r="G1545" i="59"/>
  <c r="G1544" i="59"/>
  <c r="G1543" i="59"/>
  <c r="F1542" i="59"/>
  <c r="E1542" i="59"/>
  <c r="E1541" i="59"/>
  <c r="G1538" i="59"/>
  <c r="F1537" i="59"/>
  <c r="E1537" i="59"/>
  <c r="E1536" i="59" s="1"/>
  <c r="G1534" i="59"/>
  <c r="G1533" i="59"/>
  <c r="G1532" i="59"/>
  <c r="F1531" i="59"/>
  <c r="E1531" i="59"/>
  <c r="E1530" i="59"/>
  <c r="G1527" i="59"/>
  <c r="G1526" i="59"/>
  <c r="G1525" i="59"/>
  <c r="G1524" i="59"/>
  <c r="G1523" i="59"/>
  <c r="F1523" i="59"/>
  <c r="E1523" i="59"/>
  <c r="F1522" i="59"/>
  <c r="G1522" i="59" s="1"/>
  <c r="E1522" i="59"/>
  <c r="G1520" i="59"/>
  <c r="G1519" i="59"/>
  <c r="G1518" i="59"/>
  <c r="G1517" i="59"/>
  <c r="G1516" i="59"/>
  <c r="G1515" i="59"/>
  <c r="G1514" i="59"/>
  <c r="G1513" i="59"/>
  <c r="G1512" i="59"/>
  <c r="G1511" i="59"/>
  <c r="G1510" i="59"/>
  <c r="G1509" i="59"/>
  <c r="G1508" i="59"/>
  <c r="G1507" i="59"/>
  <c r="G1506" i="59"/>
  <c r="G1505" i="59"/>
  <c r="G1504" i="59"/>
  <c r="G1503" i="59"/>
  <c r="G1502" i="59"/>
  <c r="G1501" i="59"/>
  <c r="G1499" i="59"/>
  <c r="G1498" i="59"/>
  <c r="G1497" i="59"/>
  <c r="G1496" i="59"/>
  <c r="G1495" i="59"/>
  <c r="G1494" i="59"/>
  <c r="G1493" i="59"/>
  <c r="G1492" i="59"/>
  <c r="G1491" i="59"/>
  <c r="G1490" i="59"/>
  <c r="G1488" i="59"/>
  <c r="G1487" i="59"/>
  <c r="G1486" i="59"/>
  <c r="G1485" i="59"/>
  <c r="G1484" i="59"/>
  <c r="G1483" i="59"/>
  <c r="G1482" i="59"/>
  <c r="G1481" i="59"/>
  <c r="G1480" i="59"/>
  <c r="G1478" i="59"/>
  <c r="G1477" i="59"/>
  <c r="G1476" i="59"/>
  <c r="G1475" i="59"/>
  <c r="G1474" i="59"/>
  <c r="G1473" i="59"/>
  <c r="G1472" i="59"/>
  <c r="G1471" i="59"/>
  <c r="G1470" i="59"/>
  <c r="F1469" i="59"/>
  <c r="E1469" i="59"/>
  <c r="G1467" i="59"/>
  <c r="G1466" i="59"/>
  <c r="G1465" i="59"/>
  <c r="G1464" i="59"/>
  <c r="G1463" i="59"/>
  <c r="F1462" i="59"/>
  <c r="E1462" i="59"/>
  <c r="E1461" i="59"/>
  <c r="E1460" i="59" s="1"/>
  <c r="G1459" i="59"/>
  <c r="F1458" i="59"/>
  <c r="F1457" i="59" s="1"/>
  <c r="E1458" i="59"/>
  <c r="E1457" i="59"/>
  <c r="E1456" i="59" s="1"/>
  <c r="F1453" i="59"/>
  <c r="F1452" i="59" s="1"/>
  <c r="E1453" i="59"/>
  <c r="E1452" i="59"/>
  <c r="G1450" i="59"/>
  <c r="G1449" i="59"/>
  <c r="G1448" i="59"/>
  <c r="G1447" i="59"/>
  <c r="G1446" i="59"/>
  <c r="G1445" i="59"/>
  <c r="G1444" i="59"/>
  <c r="G1443" i="59"/>
  <c r="G1442" i="59"/>
  <c r="G1441" i="59"/>
  <c r="F1440" i="59"/>
  <c r="G1440" i="59" s="1"/>
  <c r="E1440" i="59"/>
  <c r="G1438" i="59"/>
  <c r="F1437" i="59"/>
  <c r="E1437" i="59"/>
  <c r="G1435" i="59"/>
  <c r="G1434" i="59"/>
  <c r="G1433" i="59"/>
  <c r="G1432" i="59"/>
  <c r="G1431" i="59"/>
  <c r="G1430" i="59"/>
  <c r="G1429" i="59"/>
  <c r="G1428" i="59"/>
  <c r="G1427" i="59"/>
  <c r="G1426" i="59"/>
  <c r="G1425" i="59"/>
  <c r="G1424" i="59"/>
  <c r="G1423" i="59"/>
  <c r="G1422" i="59"/>
  <c r="G1421" i="59"/>
  <c r="G1420" i="59"/>
  <c r="G1419" i="59"/>
  <c r="G1418" i="59"/>
  <c r="G1417" i="59"/>
  <c r="G1416" i="59"/>
  <c r="G1415" i="59"/>
  <c r="F1414" i="59"/>
  <c r="G1414" i="59" s="1"/>
  <c r="E1414" i="59"/>
  <c r="G1412" i="59"/>
  <c r="G1411" i="59"/>
  <c r="G1410" i="59"/>
  <c r="G1409" i="59"/>
  <c r="G1408" i="59"/>
  <c r="F1407" i="59"/>
  <c r="E1407" i="59"/>
  <c r="E1406" i="59" s="1"/>
  <c r="E1405" i="59"/>
  <c r="E1404" i="59" s="1"/>
  <c r="G1403" i="59"/>
  <c r="F1402" i="59"/>
  <c r="F1401" i="59" s="1"/>
  <c r="E1402" i="59"/>
  <c r="E1401" i="59"/>
  <c r="E1400" i="59" s="1"/>
  <c r="G1399" i="59"/>
  <c r="F1398" i="59"/>
  <c r="E1398" i="59"/>
  <c r="E1397" i="59"/>
  <c r="E1396" i="59" s="1"/>
  <c r="G1394" i="59"/>
  <c r="G1393" i="59"/>
  <c r="F1393" i="59"/>
  <c r="E1393" i="59"/>
  <c r="G1391" i="59"/>
  <c r="G1390" i="59"/>
  <c r="F1390" i="59"/>
  <c r="F1389" i="59" s="1"/>
  <c r="E1390" i="59"/>
  <c r="E1389" i="59"/>
  <c r="E1388" i="59" s="1"/>
  <c r="E1387" i="59" s="1"/>
  <c r="G1386" i="59"/>
  <c r="F1385" i="59"/>
  <c r="F1384" i="59" s="1"/>
  <c r="E1385" i="59"/>
  <c r="E1384" i="59" s="1"/>
  <c r="E1383" i="59" s="1"/>
  <c r="E1382" i="59" s="1"/>
  <c r="G1381" i="59"/>
  <c r="G1380" i="59"/>
  <c r="F1380" i="59"/>
  <c r="E1380" i="59"/>
  <c r="G1378" i="59"/>
  <c r="G1377" i="59"/>
  <c r="F1377" i="59"/>
  <c r="E1377" i="59"/>
  <c r="E1376" i="59" s="1"/>
  <c r="G1376" i="59"/>
  <c r="F1376" i="59"/>
  <c r="F1375" i="59" s="1"/>
  <c r="E1375" i="59"/>
  <c r="E1374" i="59" s="1"/>
  <c r="F1374" i="59"/>
  <c r="G1373" i="59"/>
  <c r="F1372" i="59"/>
  <c r="E1372" i="59"/>
  <c r="E1371" i="59" s="1"/>
  <c r="E1370" i="59" s="1"/>
  <c r="F1368" i="59"/>
  <c r="E1368" i="59"/>
  <c r="E1367" i="59" s="1"/>
  <c r="F1367" i="59"/>
  <c r="G1365" i="59"/>
  <c r="G1364" i="59"/>
  <c r="F1364" i="59"/>
  <c r="E1364" i="59"/>
  <c r="G1362" i="59"/>
  <c r="F1361" i="59"/>
  <c r="G1361" i="59" s="1"/>
  <c r="E1361" i="59"/>
  <c r="E1360" i="59"/>
  <c r="E1359" i="59" s="1"/>
  <c r="E1358" i="59" s="1"/>
  <c r="G1357" i="59"/>
  <c r="F1356" i="59"/>
  <c r="E1356" i="59"/>
  <c r="E1355" i="59" s="1"/>
  <c r="F1355" i="59"/>
  <c r="G1355" i="59" s="1"/>
  <c r="G1353" i="59"/>
  <c r="F1352" i="59"/>
  <c r="E1352" i="59"/>
  <c r="E1351" i="59"/>
  <c r="E1350" i="59" s="1"/>
  <c r="G1349" i="59"/>
  <c r="F1348" i="59"/>
  <c r="E1348" i="59"/>
  <c r="E1347" i="59" s="1"/>
  <c r="E1346" i="59" s="1"/>
  <c r="G1345" i="59"/>
  <c r="F1344" i="59"/>
  <c r="E1344" i="59"/>
  <c r="E1343" i="59"/>
  <c r="G1341" i="59"/>
  <c r="F1340" i="59"/>
  <c r="G1340" i="59" s="1"/>
  <c r="E1340" i="59"/>
  <c r="E1339" i="59" s="1"/>
  <c r="F1339" i="59"/>
  <c r="G1337" i="59"/>
  <c r="F1336" i="59"/>
  <c r="F1335" i="59" s="1"/>
  <c r="F1334" i="59" s="1"/>
  <c r="E1336" i="59"/>
  <c r="G1333" i="59"/>
  <c r="G1332" i="59"/>
  <c r="G1331" i="59"/>
  <c r="F1331" i="59"/>
  <c r="F1330" i="59" s="1"/>
  <c r="E1331" i="59"/>
  <c r="E1330" i="59"/>
  <c r="E1320" i="59" s="1"/>
  <c r="G1328" i="59"/>
  <c r="G1327" i="59"/>
  <c r="F1326" i="59"/>
  <c r="G1326" i="59" s="1"/>
  <c r="E1326" i="59"/>
  <c r="G1324" i="59"/>
  <c r="F1323" i="59"/>
  <c r="E1323" i="59"/>
  <c r="E1322" i="59"/>
  <c r="E1321" i="59" s="1"/>
  <c r="G1318" i="59"/>
  <c r="G1317" i="59"/>
  <c r="F1316" i="59"/>
  <c r="F1315" i="59" s="1"/>
  <c r="E1316" i="59"/>
  <c r="G1313" i="59"/>
  <c r="G1312" i="59"/>
  <c r="G1311" i="59"/>
  <c r="F1311" i="59"/>
  <c r="E1311" i="59"/>
  <c r="F1308" i="59"/>
  <c r="F1307" i="59" s="1"/>
  <c r="F1306" i="59" s="1"/>
  <c r="E1308" i="59"/>
  <c r="E1307" i="59" s="1"/>
  <c r="E1306" i="59" s="1"/>
  <c r="G1304" i="59"/>
  <c r="F1303" i="59"/>
  <c r="G1303" i="59" s="1"/>
  <c r="E1303" i="59"/>
  <c r="G1301" i="59"/>
  <c r="F1300" i="59"/>
  <c r="G1300" i="59" s="1"/>
  <c r="E1300" i="59"/>
  <c r="G1298" i="59"/>
  <c r="G1297" i="59"/>
  <c r="G1296" i="59"/>
  <c r="F1296" i="59"/>
  <c r="E1296" i="59"/>
  <c r="F1295" i="59"/>
  <c r="E1295" i="59"/>
  <c r="E1294" i="59"/>
  <c r="E1293" i="59" s="1"/>
  <c r="G1291" i="59"/>
  <c r="G1290" i="59"/>
  <c r="G1289" i="59"/>
  <c r="F1288" i="59"/>
  <c r="E1288" i="59"/>
  <c r="E1287" i="59"/>
  <c r="G1284" i="59"/>
  <c r="F1283" i="59"/>
  <c r="E1283" i="59"/>
  <c r="G1283" i="59" s="1"/>
  <c r="G1281" i="59"/>
  <c r="G1280" i="59"/>
  <c r="G1279" i="59"/>
  <c r="F1278" i="59"/>
  <c r="G1278" i="59" s="1"/>
  <c r="E1278" i="59"/>
  <c r="G1276" i="59"/>
  <c r="G1275" i="59"/>
  <c r="G1274" i="59"/>
  <c r="G1273" i="59"/>
  <c r="G1272" i="59"/>
  <c r="F1271" i="59"/>
  <c r="G1271" i="59" s="1"/>
  <c r="E1271" i="59"/>
  <c r="G1269" i="59"/>
  <c r="G1268" i="59"/>
  <c r="G1267" i="59"/>
  <c r="F1266" i="59"/>
  <c r="E1266" i="59"/>
  <c r="G1264" i="59"/>
  <c r="G1263" i="59"/>
  <c r="G1262" i="59"/>
  <c r="G1261" i="59"/>
  <c r="G1260" i="59"/>
  <c r="F1260" i="59"/>
  <c r="E1260" i="59"/>
  <c r="F1259" i="59"/>
  <c r="G1256" i="59"/>
  <c r="G1255" i="59"/>
  <c r="G1254" i="59"/>
  <c r="G1253" i="59"/>
  <c r="G1252" i="59"/>
  <c r="G1251" i="59"/>
  <c r="F1250" i="59"/>
  <c r="E1250" i="59"/>
  <c r="E1243" i="59" s="1"/>
  <c r="E1242" i="59" s="1"/>
  <c r="E1241" i="59" s="1"/>
  <c r="G1248" i="59"/>
  <c r="G1247" i="59"/>
  <c r="G1245" i="59"/>
  <c r="G1244" i="59"/>
  <c r="F1244" i="59"/>
  <c r="E1244" i="59"/>
  <c r="F1243" i="59"/>
  <c r="G1240" i="59"/>
  <c r="G1239" i="59"/>
  <c r="G1238" i="59"/>
  <c r="G1237" i="59"/>
  <c r="G1236" i="59"/>
  <c r="F1236" i="59"/>
  <c r="E1236" i="59"/>
  <c r="G1234" i="59"/>
  <c r="G1233" i="59"/>
  <c r="G1232" i="59"/>
  <c r="G1231" i="59"/>
  <c r="G1230" i="59"/>
  <c r="G1229" i="59"/>
  <c r="F1229" i="59"/>
  <c r="E1229" i="59"/>
  <c r="F1228" i="59"/>
  <c r="E1228" i="59"/>
  <c r="G1226" i="59"/>
  <c r="G1225" i="59"/>
  <c r="G1224" i="59"/>
  <c r="G1223" i="59"/>
  <c r="F1222" i="59"/>
  <c r="G1222" i="59" s="1"/>
  <c r="E1222" i="59"/>
  <c r="G1220" i="59"/>
  <c r="F1219" i="59"/>
  <c r="G1219" i="59" s="1"/>
  <c r="E1219" i="59"/>
  <c r="G1217" i="59"/>
  <c r="G1216" i="59"/>
  <c r="G1215" i="59"/>
  <c r="G1214" i="59"/>
  <c r="G1213" i="59"/>
  <c r="G1212" i="59"/>
  <c r="G1211" i="59"/>
  <c r="G1210" i="59"/>
  <c r="G1209" i="59"/>
  <c r="G1208" i="59"/>
  <c r="G1207" i="59"/>
  <c r="G1206" i="59"/>
  <c r="G1205" i="59"/>
  <c r="G1204" i="59"/>
  <c r="G1203" i="59"/>
  <c r="G1202" i="59"/>
  <c r="G1201" i="59"/>
  <c r="F1200" i="59"/>
  <c r="E1200" i="59"/>
  <c r="G1198" i="59"/>
  <c r="G1197" i="59"/>
  <c r="G1196" i="59"/>
  <c r="G1195" i="59"/>
  <c r="G1194" i="59"/>
  <c r="F1193" i="59"/>
  <c r="E1193" i="59"/>
  <c r="G1189" i="59"/>
  <c r="G1188" i="59"/>
  <c r="G1187" i="59"/>
  <c r="F1187" i="59"/>
  <c r="E1187" i="59"/>
  <c r="G1185" i="59"/>
  <c r="G1184" i="59"/>
  <c r="F1182" i="59"/>
  <c r="E1182" i="59"/>
  <c r="F1181" i="59"/>
  <c r="G1179" i="59"/>
  <c r="G1178" i="59"/>
  <c r="G1177" i="59"/>
  <c r="G1176" i="59"/>
  <c r="G1175" i="59"/>
  <c r="G1174" i="59"/>
  <c r="G1173" i="59"/>
  <c r="G1172" i="59"/>
  <c r="G1171" i="59"/>
  <c r="G1170" i="59"/>
  <c r="G1169" i="59"/>
  <c r="G1168" i="59"/>
  <c r="G1167" i="59"/>
  <c r="G1166" i="59"/>
  <c r="G1165" i="59"/>
  <c r="G1164" i="59"/>
  <c r="G1163" i="59"/>
  <c r="G1162" i="59"/>
  <c r="G1161" i="59"/>
  <c r="G1160" i="59"/>
  <c r="G1159" i="59"/>
  <c r="G1158" i="59"/>
  <c r="G1157" i="59"/>
  <c r="G1156" i="59"/>
  <c r="G1155" i="59"/>
  <c r="G1154" i="59"/>
  <c r="G1153" i="59"/>
  <c r="G1152" i="59"/>
  <c r="G1151" i="59"/>
  <c r="G1150" i="59"/>
  <c r="F1150" i="59"/>
  <c r="E1150" i="59"/>
  <c r="G1148" i="59"/>
  <c r="G1147" i="59"/>
  <c r="F1147" i="59"/>
  <c r="E1147" i="59"/>
  <c r="G1145" i="59"/>
  <c r="G1144" i="59"/>
  <c r="G1143" i="59"/>
  <c r="G1142" i="59"/>
  <c r="G1141" i="59"/>
  <c r="G1140" i="59"/>
  <c r="G1139" i="59"/>
  <c r="G1138" i="59"/>
  <c r="G1137" i="59"/>
  <c r="G1136" i="59"/>
  <c r="F1135" i="59"/>
  <c r="E1135" i="59"/>
  <c r="G1135" i="59" s="1"/>
  <c r="G1133" i="59"/>
  <c r="G1132" i="59"/>
  <c r="G1131" i="59"/>
  <c r="G1130" i="59"/>
  <c r="G1129" i="59"/>
  <c r="F1128" i="59"/>
  <c r="E1128" i="59"/>
  <c r="F1127" i="59"/>
  <c r="F1126" i="59"/>
  <c r="G1123" i="59"/>
  <c r="F1122" i="59"/>
  <c r="E1122" i="59"/>
  <c r="E1121" i="59" s="1"/>
  <c r="G1119" i="59"/>
  <c r="G1118" i="59"/>
  <c r="G1117" i="59"/>
  <c r="G1116" i="59"/>
  <c r="G1115" i="59"/>
  <c r="G1114" i="59"/>
  <c r="G1111" i="59"/>
  <c r="G1110" i="59"/>
  <c r="G1109" i="59"/>
  <c r="G1108" i="59"/>
  <c r="G1107" i="59"/>
  <c r="G1106" i="59"/>
  <c r="G1105" i="59"/>
  <c r="G1104" i="59"/>
  <c r="F1103" i="59"/>
  <c r="E1103" i="59"/>
  <c r="G1101" i="59"/>
  <c r="G1100" i="59"/>
  <c r="F1099" i="59"/>
  <c r="G1099" i="59" s="1"/>
  <c r="E1099" i="59"/>
  <c r="G1097" i="59"/>
  <c r="G1096" i="59"/>
  <c r="G1095" i="59"/>
  <c r="G1094" i="59"/>
  <c r="G1093" i="59"/>
  <c r="G1092" i="59"/>
  <c r="G1091" i="59"/>
  <c r="G1090" i="59"/>
  <c r="G1088" i="59"/>
  <c r="G1087" i="59"/>
  <c r="G1086" i="59"/>
  <c r="G1085" i="59"/>
  <c r="G1084" i="59"/>
  <c r="G1083" i="59"/>
  <c r="G1082" i="59"/>
  <c r="G1081" i="59"/>
  <c r="F1081" i="59"/>
  <c r="E1081" i="59"/>
  <c r="G1079" i="59"/>
  <c r="G1078" i="59"/>
  <c r="G1077" i="59"/>
  <c r="G1076" i="59"/>
  <c r="G1075" i="59"/>
  <c r="G1074" i="59"/>
  <c r="F1074" i="59"/>
  <c r="E1074" i="59"/>
  <c r="E1073" i="59" s="1"/>
  <c r="G1073" i="59"/>
  <c r="F1073" i="59"/>
  <c r="E1072" i="59"/>
  <c r="E1071" i="59" s="1"/>
  <c r="G1070" i="59"/>
  <c r="F1069" i="59"/>
  <c r="E1069" i="59"/>
  <c r="G1067" i="59"/>
  <c r="G1066" i="59"/>
  <c r="G1065" i="59"/>
  <c r="G1064" i="59"/>
  <c r="F1063" i="59"/>
  <c r="E1063" i="59"/>
  <c r="G1061" i="59"/>
  <c r="G1060" i="59"/>
  <c r="G1059" i="59"/>
  <c r="G1058" i="59"/>
  <c r="G1057" i="59"/>
  <c r="F1057" i="59"/>
  <c r="E1057" i="59"/>
  <c r="F1056" i="59"/>
  <c r="F1055" i="59" s="1"/>
  <c r="G1053" i="59"/>
  <c r="F1052" i="59"/>
  <c r="E1052" i="59"/>
  <c r="F1051" i="59"/>
  <c r="F1050" i="59"/>
  <c r="F1049" i="59"/>
  <c r="G1048" i="59"/>
  <c r="F1047" i="59"/>
  <c r="E1047" i="59"/>
  <c r="G1045" i="59"/>
  <c r="G1044" i="59"/>
  <c r="G1043" i="59"/>
  <c r="G1042" i="59"/>
  <c r="G1041" i="59"/>
  <c r="F1041" i="59"/>
  <c r="E1041" i="59"/>
  <c r="G1039" i="59"/>
  <c r="G1038" i="59"/>
  <c r="G1037" i="59"/>
  <c r="G1036" i="59"/>
  <c r="G1035" i="59"/>
  <c r="F1035" i="59"/>
  <c r="E1035" i="59"/>
  <c r="F1034" i="59"/>
  <c r="E1034" i="59"/>
  <c r="E1033" i="59" s="1"/>
  <c r="E1032" i="59"/>
  <c r="G1030" i="59"/>
  <c r="F1029" i="59"/>
  <c r="E1029" i="59"/>
  <c r="G1029" i="59" s="1"/>
  <c r="G1027" i="59"/>
  <c r="G1026" i="59"/>
  <c r="G1025" i="59"/>
  <c r="G1024" i="59"/>
  <c r="G1023" i="59"/>
  <c r="G1022" i="59"/>
  <c r="G1021" i="59"/>
  <c r="G1020" i="59"/>
  <c r="G1019" i="59"/>
  <c r="G1018" i="59"/>
  <c r="G1017" i="59"/>
  <c r="F1016" i="59"/>
  <c r="G1016" i="59" s="1"/>
  <c r="E1016" i="59"/>
  <c r="G1014" i="59"/>
  <c r="G1013" i="59"/>
  <c r="G1012" i="59"/>
  <c r="G1011" i="59"/>
  <c r="G1010" i="59"/>
  <c r="F1009" i="59"/>
  <c r="E1009" i="59"/>
  <c r="E1008" i="59"/>
  <c r="E1007" i="59" s="1"/>
  <c r="E1006" i="59" s="1"/>
  <c r="G1005" i="59"/>
  <c r="F1004" i="59"/>
  <c r="E1004" i="59"/>
  <c r="E1003" i="59" s="1"/>
  <c r="E1002" i="59" s="1"/>
  <c r="E1001" i="59" s="1"/>
  <c r="G1000" i="59"/>
  <c r="F999" i="59"/>
  <c r="F998" i="59" s="1"/>
  <c r="E999" i="59"/>
  <c r="G996" i="59"/>
  <c r="F995" i="59"/>
  <c r="E995" i="59"/>
  <c r="E994" i="59"/>
  <c r="E993" i="59" s="1"/>
  <c r="G990" i="59"/>
  <c r="F989" i="59"/>
  <c r="E989" i="59"/>
  <c r="F988" i="59"/>
  <c r="G986" i="59"/>
  <c r="F985" i="59"/>
  <c r="E985" i="59"/>
  <c r="F984" i="59"/>
  <c r="F983" i="59" s="1"/>
  <c r="G981" i="59"/>
  <c r="F980" i="59"/>
  <c r="E980" i="59"/>
  <c r="E979" i="59" s="1"/>
  <c r="E978" i="59" s="1"/>
  <c r="G977" i="59"/>
  <c r="F976" i="59"/>
  <c r="F975" i="59" s="1"/>
  <c r="E976" i="59"/>
  <c r="E975" i="59"/>
  <c r="G973" i="59"/>
  <c r="F972" i="59"/>
  <c r="E972" i="59"/>
  <c r="E971" i="59" s="1"/>
  <c r="G969" i="59"/>
  <c r="F968" i="59"/>
  <c r="F967" i="59" s="1"/>
  <c r="F966" i="59" s="1"/>
  <c r="E968" i="59"/>
  <c r="G965" i="59"/>
  <c r="F964" i="59"/>
  <c r="F963" i="59" s="1"/>
  <c r="E964" i="59"/>
  <c r="E963" i="59"/>
  <c r="E958" i="59" s="1"/>
  <c r="G962" i="59"/>
  <c r="G961" i="59"/>
  <c r="G960" i="59"/>
  <c r="G959" i="59"/>
  <c r="G957" i="59"/>
  <c r="F956" i="59"/>
  <c r="G956" i="59" s="1"/>
  <c r="E956" i="59"/>
  <c r="E955" i="59" s="1"/>
  <c r="E954" i="59" s="1"/>
  <c r="F955" i="59"/>
  <c r="F950" i="59"/>
  <c r="E950" i="59"/>
  <c r="F949" i="59"/>
  <c r="F948" i="59" s="1"/>
  <c r="F947" i="59" s="1"/>
  <c r="F946" i="59" s="1"/>
  <c r="E949" i="59"/>
  <c r="E948" i="59" s="1"/>
  <c r="E947" i="59" s="1"/>
  <c r="E946" i="59" s="1"/>
  <c r="G945" i="59"/>
  <c r="G944" i="59"/>
  <c r="G943" i="59"/>
  <c r="F943" i="59"/>
  <c r="E943" i="59"/>
  <c r="G941" i="59"/>
  <c r="G940" i="59"/>
  <c r="F940" i="59"/>
  <c r="F2073" i="59" s="1"/>
  <c r="E940" i="59"/>
  <c r="E2073" i="59" s="1"/>
  <c r="G938" i="59"/>
  <c r="G934" i="59"/>
  <c r="G933" i="59"/>
  <c r="F932" i="59"/>
  <c r="E932" i="59"/>
  <c r="F931" i="59"/>
  <c r="G929" i="59"/>
  <c r="F928" i="59"/>
  <c r="G928" i="59" s="1"/>
  <c r="E928" i="59"/>
  <c r="G927" i="59"/>
  <c r="G926" i="59"/>
  <c r="G925" i="59"/>
  <c r="G924" i="59"/>
  <c r="G923" i="59"/>
  <c r="E923" i="59"/>
  <c r="G922" i="59"/>
  <c r="E922" i="59"/>
  <c r="F921" i="59"/>
  <c r="E921" i="59"/>
  <c r="G921" i="59" s="1"/>
  <c r="G920" i="59"/>
  <c r="F919" i="59"/>
  <c r="E919" i="59"/>
  <c r="G919" i="59" s="1"/>
  <c r="G916" i="59"/>
  <c r="E916" i="59"/>
  <c r="F915" i="59"/>
  <c r="E915" i="59"/>
  <c r="G914" i="59"/>
  <c r="F913" i="59"/>
  <c r="G913" i="59" s="1"/>
  <c r="E913" i="59"/>
  <c r="G912" i="59"/>
  <c r="F912" i="59"/>
  <c r="E912" i="59"/>
  <c r="F911" i="59"/>
  <c r="G911" i="59" s="1"/>
  <c r="E911" i="59"/>
  <c r="G910" i="59"/>
  <c r="E909" i="59"/>
  <c r="G909" i="59" s="1"/>
  <c r="G908" i="59"/>
  <c r="G907" i="59"/>
  <c r="G906" i="59"/>
  <c r="G905" i="59"/>
  <c r="F905" i="59"/>
  <c r="E905" i="59"/>
  <c r="E904" i="59"/>
  <c r="G904" i="59" s="1"/>
  <c r="F903" i="59"/>
  <c r="G903" i="59" s="1"/>
  <c r="E903" i="59"/>
  <c r="G902" i="59"/>
  <c r="F901" i="59"/>
  <c r="E901" i="59"/>
  <c r="E890" i="59" s="1"/>
  <c r="F900" i="59"/>
  <c r="E900" i="59"/>
  <c r="G900" i="59" s="1"/>
  <c r="G899" i="59"/>
  <c r="F899" i="59"/>
  <c r="E899" i="59"/>
  <c r="F898" i="59"/>
  <c r="G898" i="59" s="1"/>
  <c r="E898" i="59"/>
  <c r="G897" i="59"/>
  <c r="F896" i="59"/>
  <c r="E896" i="59"/>
  <c r="F895" i="59"/>
  <c r="E895" i="59"/>
  <c r="G894" i="59"/>
  <c r="F894" i="59"/>
  <c r="E894" i="59"/>
  <c r="G893" i="59"/>
  <c r="G892" i="59"/>
  <c r="G891" i="59"/>
  <c r="G888" i="59"/>
  <c r="F887" i="59"/>
  <c r="G887" i="59" s="1"/>
  <c r="E887" i="59"/>
  <c r="G885" i="59"/>
  <c r="G884" i="59"/>
  <c r="G883" i="59"/>
  <c r="G882" i="59"/>
  <c r="F881" i="59"/>
  <c r="G881" i="59" s="1"/>
  <c r="E881" i="59"/>
  <c r="G880" i="59"/>
  <c r="F879" i="59"/>
  <c r="G879" i="59" s="1"/>
  <c r="E879" i="59"/>
  <c r="G878" i="59"/>
  <c r="F878" i="59"/>
  <c r="G877" i="59"/>
  <c r="F877" i="59"/>
  <c r="F876" i="59"/>
  <c r="E876" i="59"/>
  <c r="G876" i="59" s="1"/>
  <c r="G875" i="59"/>
  <c r="F875" i="59"/>
  <c r="E875" i="59"/>
  <c r="G874" i="59"/>
  <c r="F874" i="59"/>
  <c r="E874" i="59"/>
  <c r="F873" i="59"/>
  <c r="E873" i="59"/>
  <c r="E872" i="59" s="1"/>
  <c r="E867" i="59" s="1"/>
  <c r="E866" i="59" s="1"/>
  <c r="G870" i="59"/>
  <c r="G869" i="59"/>
  <c r="F868" i="59"/>
  <c r="E868" i="59"/>
  <c r="F863" i="59"/>
  <c r="E863" i="59"/>
  <c r="G861" i="59"/>
  <c r="G860" i="59"/>
  <c r="G858" i="59"/>
  <c r="G856" i="59"/>
  <c r="G855" i="59"/>
  <c r="F855" i="59"/>
  <c r="E855" i="59"/>
  <c r="G853" i="59"/>
  <c r="G852" i="59"/>
  <c r="G851" i="59"/>
  <c r="G850" i="59"/>
  <c r="F849" i="59"/>
  <c r="F848" i="59" s="1"/>
  <c r="E849" i="59"/>
  <c r="E848" i="59"/>
  <c r="G845" i="59"/>
  <c r="F844" i="59"/>
  <c r="G844" i="59" s="1"/>
  <c r="E844" i="59"/>
  <c r="E843" i="59"/>
  <c r="G841" i="59"/>
  <c r="G840" i="59"/>
  <c r="G839" i="59"/>
  <c r="G838" i="59"/>
  <c r="F837" i="59"/>
  <c r="E837" i="59"/>
  <c r="G835" i="59"/>
  <c r="F834" i="59"/>
  <c r="E834" i="59"/>
  <c r="G830" i="59"/>
  <c r="G829" i="59"/>
  <c r="G828" i="59"/>
  <c r="G827" i="59"/>
  <c r="F826" i="59"/>
  <c r="E826" i="59"/>
  <c r="G824" i="59"/>
  <c r="G823" i="59"/>
  <c r="G822" i="59"/>
  <c r="G821" i="59"/>
  <c r="G820" i="59"/>
  <c r="F819" i="59"/>
  <c r="E819" i="59"/>
  <c r="E818" i="59" s="1"/>
  <c r="G816" i="59"/>
  <c r="G815" i="59"/>
  <c r="G814" i="59"/>
  <c r="G813" i="59"/>
  <c r="G812" i="59"/>
  <c r="G811" i="59"/>
  <c r="G810" i="59"/>
  <c r="G809" i="59"/>
  <c r="G808" i="59"/>
  <c r="G807" i="59"/>
  <c r="G806" i="59"/>
  <c r="G805" i="59"/>
  <c r="G804" i="59"/>
  <c r="G803" i="59"/>
  <c r="G802" i="59"/>
  <c r="G801" i="59"/>
  <c r="G800" i="59"/>
  <c r="G799" i="59"/>
  <c r="G798" i="59"/>
  <c r="G797" i="59"/>
  <c r="G796" i="59"/>
  <c r="G795" i="59"/>
  <c r="G794" i="59"/>
  <c r="G793" i="59"/>
  <c r="G792" i="59"/>
  <c r="G791" i="59"/>
  <c r="G790" i="59"/>
  <c r="G789" i="59"/>
  <c r="G788" i="59"/>
  <c r="G787" i="59"/>
  <c r="F787" i="59"/>
  <c r="E787" i="59"/>
  <c r="G785" i="59"/>
  <c r="G784" i="59"/>
  <c r="F783" i="59"/>
  <c r="G783" i="59" s="1"/>
  <c r="E783" i="59"/>
  <c r="G781" i="59"/>
  <c r="G780" i="59"/>
  <c r="G779" i="59"/>
  <c r="G778" i="59"/>
  <c r="F778" i="59"/>
  <c r="E778" i="59"/>
  <c r="G777" i="59"/>
  <c r="F777" i="59"/>
  <c r="E777" i="59"/>
  <c r="F776" i="59"/>
  <c r="E776" i="59"/>
  <c r="F775" i="59"/>
  <c r="E775" i="59"/>
  <c r="F772" i="59"/>
  <c r="E772" i="59"/>
  <c r="E771" i="59" s="1"/>
  <c r="G767" i="59"/>
  <c r="G766" i="59"/>
  <c r="G765" i="59"/>
  <c r="F765" i="59"/>
  <c r="E765" i="59"/>
  <c r="G763" i="59"/>
  <c r="G762" i="59"/>
  <c r="G761" i="59"/>
  <c r="F760" i="59"/>
  <c r="E760" i="59"/>
  <c r="E759" i="59" s="1"/>
  <c r="E758" i="59" s="1"/>
  <c r="E757" i="59" s="1"/>
  <c r="G756" i="59"/>
  <c r="G755" i="59"/>
  <c r="G754" i="59"/>
  <c r="G753" i="59"/>
  <c r="F751" i="59"/>
  <c r="E751" i="59"/>
  <c r="G749" i="59"/>
  <c r="G748" i="59"/>
  <c r="G747" i="59"/>
  <c r="G746" i="59"/>
  <c r="G745" i="59"/>
  <c r="F744" i="59"/>
  <c r="G744" i="59" s="1"/>
  <c r="F743" i="59"/>
  <c r="F742" i="59" s="1"/>
  <c r="G742" i="59" s="1"/>
  <c r="E743" i="59"/>
  <c r="E742" i="59"/>
  <c r="G740" i="59"/>
  <c r="G739" i="59"/>
  <c r="F738" i="59"/>
  <c r="G738" i="59" s="1"/>
  <c r="E738" i="59"/>
  <c r="F737" i="59"/>
  <c r="G737" i="59" s="1"/>
  <c r="E737" i="59"/>
  <c r="G736" i="59"/>
  <c r="G735" i="59"/>
  <c r="G734" i="59"/>
  <c r="E734" i="59"/>
  <c r="E733" i="59"/>
  <c r="G733" i="59" s="1"/>
  <c r="F732" i="59"/>
  <c r="G732" i="59" s="1"/>
  <c r="E732" i="59"/>
  <c r="F731" i="59"/>
  <c r="E731" i="59"/>
  <c r="G731" i="59" s="1"/>
  <c r="G730" i="59"/>
  <c r="G729" i="59"/>
  <c r="F728" i="59"/>
  <c r="G728" i="59" s="1"/>
  <c r="E728" i="59"/>
  <c r="G727" i="59"/>
  <c r="F727" i="59"/>
  <c r="E727" i="59"/>
  <c r="F726" i="59"/>
  <c r="E726" i="59"/>
  <c r="F725" i="59"/>
  <c r="E725" i="59"/>
  <c r="G725" i="59" s="1"/>
  <c r="G724" i="59"/>
  <c r="F723" i="59"/>
  <c r="E723" i="59"/>
  <c r="G723" i="59" s="1"/>
  <c r="G722" i="59"/>
  <c r="F722" i="59"/>
  <c r="E722" i="59"/>
  <c r="G721" i="59"/>
  <c r="G720" i="59"/>
  <c r="G719" i="59"/>
  <c r="G718" i="59"/>
  <c r="G717" i="59"/>
  <c r="F717" i="59"/>
  <c r="E717" i="59"/>
  <c r="F716" i="59"/>
  <c r="E716" i="59"/>
  <c r="F715" i="59"/>
  <c r="E715" i="59"/>
  <c r="G715" i="59" s="1"/>
  <c r="G714" i="59"/>
  <c r="F714" i="59"/>
  <c r="E714" i="59"/>
  <c r="G713" i="59"/>
  <c r="G712" i="59"/>
  <c r="G711" i="59"/>
  <c r="G710" i="59"/>
  <c r="G709" i="59"/>
  <c r="G708" i="59"/>
  <c r="G707" i="59"/>
  <c r="G706" i="59"/>
  <c r="G705" i="59"/>
  <c r="G704" i="59"/>
  <c r="G703" i="59"/>
  <c r="G702" i="59"/>
  <c r="G699" i="59"/>
  <c r="F698" i="59"/>
  <c r="G698" i="59" s="1"/>
  <c r="E698" i="59"/>
  <c r="G696" i="59"/>
  <c r="G695" i="59"/>
  <c r="G694" i="59"/>
  <c r="G693" i="59"/>
  <c r="G692" i="59"/>
  <c r="G691" i="59"/>
  <c r="G690" i="59"/>
  <c r="G689" i="59"/>
  <c r="G688" i="59"/>
  <c r="G687" i="59"/>
  <c r="G686" i="59"/>
  <c r="G685" i="59"/>
  <c r="G684" i="59"/>
  <c r="G683" i="59"/>
  <c r="G682" i="59"/>
  <c r="F682" i="59"/>
  <c r="E682" i="59"/>
  <c r="G681" i="59"/>
  <c r="G680" i="59"/>
  <c r="G679" i="59"/>
  <c r="G678" i="59"/>
  <c r="F677" i="59"/>
  <c r="G677" i="59" s="1"/>
  <c r="E677" i="59"/>
  <c r="G676" i="59"/>
  <c r="E675" i="59"/>
  <c r="G673" i="59"/>
  <c r="G672" i="59"/>
  <c r="G671" i="59"/>
  <c r="G670" i="59"/>
  <c r="G669" i="59"/>
  <c r="F668" i="59"/>
  <c r="E668" i="59"/>
  <c r="E667" i="59"/>
  <c r="G664" i="59"/>
  <c r="G663" i="59"/>
  <c r="F663" i="59"/>
  <c r="E663" i="59"/>
  <c r="F662" i="59"/>
  <c r="G662" i="59" s="1"/>
  <c r="E662" i="59"/>
  <c r="G660" i="59"/>
  <c r="F659" i="59"/>
  <c r="G659" i="59" s="1"/>
  <c r="E659" i="59"/>
  <c r="G657" i="59"/>
  <c r="G656" i="59"/>
  <c r="G655" i="59"/>
  <c r="G654" i="59"/>
  <c r="F653" i="59"/>
  <c r="E653" i="59"/>
  <c r="G651" i="59"/>
  <c r="F650" i="59"/>
  <c r="E650" i="59"/>
  <c r="E649" i="59"/>
  <c r="E648" i="59" s="1"/>
  <c r="E647" i="59"/>
  <c r="G645" i="59"/>
  <c r="F644" i="59"/>
  <c r="E644" i="59"/>
  <c r="G642" i="59"/>
  <c r="G641" i="59"/>
  <c r="G640" i="59"/>
  <c r="G639" i="59"/>
  <c r="G638" i="59"/>
  <c r="F637" i="59"/>
  <c r="F636" i="59" s="1"/>
  <c r="E637" i="59"/>
  <c r="G632" i="59"/>
  <c r="F631" i="59"/>
  <c r="G631" i="59" s="1"/>
  <c r="E631" i="59"/>
  <c r="G629" i="59"/>
  <c r="F628" i="59"/>
  <c r="E628" i="59"/>
  <c r="E627" i="59"/>
  <c r="G625" i="59"/>
  <c r="G624" i="59"/>
  <c r="G623" i="59"/>
  <c r="G622" i="59"/>
  <c r="G621" i="59"/>
  <c r="G620" i="59"/>
  <c r="G619" i="59"/>
  <c r="G618" i="59"/>
  <c r="G617" i="59"/>
  <c r="G616" i="59"/>
  <c r="G615" i="59"/>
  <c r="G614" i="59"/>
  <c r="G613" i="59"/>
  <c r="G612" i="59"/>
  <c r="G611" i="59"/>
  <c r="G610" i="59"/>
  <c r="G609" i="59"/>
  <c r="G608" i="59"/>
  <c r="G607" i="59"/>
  <c r="G606" i="59"/>
  <c r="G605" i="59"/>
  <c r="G604" i="59"/>
  <c r="G602" i="59"/>
  <c r="G601" i="59"/>
  <c r="G599" i="59"/>
  <c r="G598" i="59"/>
  <c r="G597" i="59"/>
  <c r="G596" i="59"/>
  <c r="G594" i="59"/>
  <c r="F593" i="59"/>
  <c r="E593" i="59"/>
  <c r="E592" i="59"/>
  <c r="E591" i="59" s="1"/>
  <c r="G590" i="59"/>
  <c r="G589" i="59"/>
  <c r="F589" i="59"/>
  <c r="E589" i="59"/>
  <c r="F588" i="59"/>
  <c r="E588" i="59"/>
  <c r="E587" i="59"/>
  <c r="G585" i="59"/>
  <c r="G584" i="59"/>
  <c r="F584" i="59"/>
  <c r="E584" i="59"/>
  <c r="G583" i="59"/>
  <c r="G582" i="59"/>
  <c r="F582" i="59"/>
  <c r="E582" i="59"/>
  <c r="E580" i="59" s="1"/>
  <c r="F580" i="59"/>
  <c r="G580" i="59" s="1"/>
  <c r="G578" i="59"/>
  <c r="G577" i="59"/>
  <c r="F576" i="59"/>
  <c r="E576" i="59"/>
  <c r="F574" i="59"/>
  <c r="G574" i="59" s="1"/>
  <c r="E574" i="59"/>
  <c r="G573" i="59"/>
  <c r="F572" i="59"/>
  <c r="F571" i="59"/>
  <c r="G569" i="59"/>
  <c r="G568" i="59"/>
  <c r="G567" i="59"/>
  <c r="G566" i="59"/>
  <c r="G565" i="59"/>
  <c r="G564" i="59"/>
  <c r="G563" i="59"/>
  <c r="G562" i="59"/>
  <c r="G561" i="59"/>
  <c r="G560" i="59"/>
  <c r="G559" i="59"/>
  <c r="F559" i="59"/>
  <c r="E559" i="59"/>
  <c r="F558" i="59"/>
  <c r="E558" i="59"/>
  <c r="E557" i="59"/>
  <c r="F553" i="59"/>
  <c r="F552" i="59" s="1"/>
  <c r="F551" i="59" s="1"/>
  <c r="F550" i="59" s="1"/>
  <c r="E553" i="59"/>
  <c r="E552" i="59" s="1"/>
  <c r="E551" i="59" s="1"/>
  <c r="E550" i="59" s="1"/>
  <c r="G549" i="59"/>
  <c r="G548" i="59"/>
  <c r="G547" i="59"/>
  <c r="G546" i="59"/>
  <c r="G545" i="59"/>
  <c r="F544" i="59"/>
  <c r="G544" i="59" s="1"/>
  <c r="E544" i="59"/>
  <c r="G542" i="59"/>
  <c r="F541" i="59"/>
  <c r="G541" i="59" s="1"/>
  <c r="E541" i="59"/>
  <c r="G539" i="59"/>
  <c r="G538" i="59"/>
  <c r="G537" i="59"/>
  <c r="G536" i="59"/>
  <c r="G535" i="59"/>
  <c r="G534" i="59"/>
  <c r="G533" i="59"/>
  <c r="G532" i="59"/>
  <c r="G531" i="59"/>
  <c r="G530" i="59"/>
  <c r="G529" i="59"/>
  <c r="G528" i="59"/>
  <c r="F527" i="59"/>
  <c r="G527" i="59" s="1"/>
  <c r="E527" i="59"/>
  <c r="G525" i="59"/>
  <c r="G524" i="59"/>
  <c r="G523" i="59"/>
  <c r="G522" i="59"/>
  <c r="G521" i="59"/>
  <c r="F520" i="59"/>
  <c r="F519" i="59" s="1"/>
  <c r="E520" i="59"/>
  <c r="E519" i="59" s="1"/>
  <c r="E518" i="59" s="1"/>
  <c r="E517" i="59" s="1"/>
  <c r="F515" i="59"/>
  <c r="F514" i="59" s="1"/>
  <c r="E515" i="59"/>
  <c r="E514" i="59" s="1"/>
  <c r="E482" i="59" s="1"/>
  <c r="G512" i="59"/>
  <c r="F511" i="59"/>
  <c r="G511" i="59" s="1"/>
  <c r="E511" i="59"/>
  <c r="G509" i="59"/>
  <c r="G508" i="59"/>
  <c r="G507" i="59"/>
  <c r="G506" i="59"/>
  <c r="G505" i="59"/>
  <c r="G504" i="59"/>
  <c r="G503" i="59"/>
  <c r="G502" i="59"/>
  <c r="G501" i="59"/>
  <c r="G500" i="59"/>
  <c r="G499" i="59"/>
  <c r="G498" i="59"/>
  <c r="G497" i="59"/>
  <c r="G496" i="59"/>
  <c r="G495" i="59"/>
  <c r="G494" i="59"/>
  <c r="G493" i="59"/>
  <c r="F492" i="59"/>
  <c r="G492" i="59" s="1"/>
  <c r="E492" i="59"/>
  <c r="G490" i="59"/>
  <c r="G489" i="59"/>
  <c r="G488" i="59"/>
  <c r="G487" i="59"/>
  <c r="G486" i="59"/>
  <c r="F485" i="59"/>
  <c r="E485" i="59"/>
  <c r="E484" i="59"/>
  <c r="E483" i="59" s="1"/>
  <c r="G480" i="59"/>
  <c r="F479" i="59"/>
  <c r="F478" i="59" s="1"/>
  <c r="E479" i="59"/>
  <c r="E478" i="59" s="1"/>
  <c r="E477" i="59" s="1"/>
  <c r="G476" i="59"/>
  <c r="E476" i="59"/>
  <c r="G475" i="59"/>
  <c r="F474" i="59"/>
  <c r="E474" i="59"/>
  <c r="E473" i="59"/>
  <c r="G471" i="59"/>
  <c r="F470" i="59"/>
  <c r="E470" i="59"/>
  <c r="E456" i="59" s="1"/>
  <c r="G468" i="59"/>
  <c r="G467" i="59"/>
  <c r="G466" i="59"/>
  <c r="G465" i="59"/>
  <c r="G463" i="59"/>
  <c r="G462" i="59"/>
  <c r="G460" i="59"/>
  <c r="G459" i="59"/>
  <c r="F459" i="59"/>
  <c r="E459" i="59"/>
  <c r="E457" i="59" s="1"/>
  <c r="F457" i="59"/>
  <c r="G453" i="59"/>
  <c r="E453" i="59"/>
  <c r="F452" i="59"/>
  <c r="E452" i="59"/>
  <c r="E451" i="59" s="1"/>
  <c r="G449" i="59"/>
  <c r="G448" i="59"/>
  <c r="F448" i="59"/>
  <c r="E448" i="59"/>
  <c r="G446" i="59"/>
  <c r="G445" i="59"/>
  <c r="G444" i="59"/>
  <c r="F442" i="59"/>
  <c r="G442" i="59" s="1"/>
  <c r="G441" i="59"/>
  <c r="F440" i="59"/>
  <c r="E440" i="59"/>
  <c r="G438" i="59"/>
  <c r="G437" i="59"/>
  <c r="G436" i="59"/>
  <c r="E436" i="59"/>
  <c r="G435" i="59"/>
  <c r="G434" i="59"/>
  <c r="G433" i="59"/>
  <c r="F433" i="59"/>
  <c r="E433" i="59"/>
  <c r="E432" i="59"/>
  <c r="E431" i="59" s="1"/>
  <c r="G429" i="59"/>
  <c r="F428" i="59"/>
  <c r="E428" i="59"/>
  <c r="E427" i="59"/>
  <c r="G423" i="59"/>
  <c r="G422" i="59"/>
  <c r="G419" i="59"/>
  <c r="G418" i="59"/>
  <c r="G417" i="59"/>
  <c r="G416" i="59"/>
  <c r="G415" i="59"/>
  <c r="G414" i="59"/>
  <c r="G413" i="59"/>
  <c r="G412" i="59"/>
  <c r="F411" i="59"/>
  <c r="G411" i="59" s="1"/>
  <c r="E411" i="59"/>
  <c r="G409" i="59"/>
  <c r="F408" i="59"/>
  <c r="G408" i="59" s="1"/>
  <c r="E408" i="59"/>
  <c r="G406" i="59"/>
  <c r="F405" i="59"/>
  <c r="E405" i="59"/>
  <c r="E404" i="59"/>
  <c r="E403" i="59" s="1"/>
  <c r="E402" i="59" s="1"/>
  <c r="G400" i="59"/>
  <c r="F399" i="59"/>
  <c r="F398" i="59" s="1"/>
  <c r="G398" i="59" s="1"/>
  <c r="E399" i="59"/>
  <c r="E398" i="59"/>
  <c r="G395" i="59"/>
  <c r="G394" i="59"/>
  <c r="G393" i="59"/>
  <c r="F393" i="59"/>
  <c r="E393" i="59"/>
  <c r="G391" i="59"/>
  <c r="G390" i="59"/>
  <c r="G389" i="59"/>
  <c r="G388" i="59"/>
  <c r="F387" i="59"/>
  <c r="E387" i="59"/>
  <c r="E386" i="59" s="1"/>
  <c r="E385" i="59"/>
  <c r="E384" i="59" s="1"/>
  <c r="G383" i="59"/>
  <c r="F382" i="59"/>
  <c r="E382" i="59"/>
  <c r="E381" i="59" s="1"/>
  <c r="E380" i="59" s="1"/>
  <c r="G379" i="59"/>
  <c r="F378" i="59"/>
  <c r="E378" i="59"/>
  <c r="E377" i="59"/>
  <c r="E376" i="59" s="1"/>
  <c r="G375" i="59"/>
  <c r="F374" i="59"/>
  <c r="E374" i="59"/>
  <c r="E373" i="59"/>
  <c r="G371" i="59"/>
  <c r="F370" i="59"/>
  <c r="F369" i="59" s="1"/>
  <c r="E370" i="59"/>
  <c r="E369" i="59"/>
  <c r="G367" i="59"/>
  <c r="G366" i="59"/>
  <c r="G365" i="59"/>
  <c r="G364" i="59"/>
  <c r="G363" i="59"/>
  <c r="G362" i="59"/>
  <c r="G360" i="59"/>
  <c r="F359" i="59"/>
  <c r="G359" i="59" s="1"/>
  <c r="E359" i="59"/>
  <c r="G357" i="59"/>
  <c r="G356" i="59"/>
  <c r="G355" i="59"/>
  <c r="G354" i="59"/>
  <c r="E353" i="59"/>
  <c r="G353" i="59" s="1"/>
  <c r="G352" i="59"/>
  <c r="G351" i="59"/>
  <c r="G350" i="59"/>
  <c r="G345" i="59"/>
  <c r="F344" i="59"/>
  <c r="G344" i="59" s="1"/>
  <c r="E344" i="59"/>
  <c r="G342" i="59"/>
  <c r="G341" i="59"/>
  <c r="G340" i="59"/>
  <c r="G339" i="59"/>
  <c r="G338" i="59"/>
  <c r="G337" i="59"/>
  <c r="G336" i="59"/>
  <c r="G335" i="59"/>
  <c r="G334" i="59"/>
  <c r="G333" i="59"/>
  <c r="G332" i="59"/>
  <c r="G331" i="59"/>
  <c r="G330" i="59"/>
  <c r="G329" i="59"/>
  <c r="G328" i="59"/>
  <c r="F327" i="59"/>
  <c r="E327" i="59"/>
  <c r="E320" i="59" s="1"/>
  <c r="G326" i="59"/>
  <c r="G325" i="59"/>
  <c r="G324" i="59"/>
  <c r="G323" i="59"/>
  <c r="G322" i="59"/>
  <c r="G321" i="59"/>
  <c r="F320" i="59"/>
  <c r="G320" i="59" s="1"/>
  <c r="G318" i="59"/>
  <c r="G317" i="59"/>
  <c r="G316" i="59"/>
  <c r="G315" i="59"/>
  <c r="G314" i="59"/>
  <c r="G313" i="59"/>
  <c r="F313" i="59"/>
  <c r="E313" i="59"/>
  <c r="E312" i="59"/>
  <c r="E311" i="59" s="1"/>
  <c r="G309" i="59"/>
  <c r="F308" i="59"/>
  <c r="G308" i="59" s="1"/>
  <c r="E308" i="59"/>
  <c r="E307" i="59"/>
  <c r="E306" i="59"/>
  <c r="E305" i="59" s="1"/>
  <c r="G304" i="59"/>
  <c r="F303" i="59"/>
  <c r="E303" i="59"/>
  <c r="E302" i="59" s="1"/>
  <c r="E301" i="59" s="1"/>
  <c r="F302" i="59"/>
  <c r="F301" i="59" s="1"/>
  <c r="G297" i="59"/>
  <c r="G296" i="59"/>
  <c r="G295" i="59"/>
  <c r="G294" i="59"/>
  <c r="F294" i="59"/>
  <c r="E294" i="59"/>
  <c r="G289" i="59"/>
  <c r="G288" i="59"/>
  <c r="G287" i="59"/>
  <c r="F286" i="59"/>
  <c r="E286" i="59"/>
  <c r="E285" i="59" s="1"/>
  <c r="F285" i="59"/>
  <c r="G285" i="59" s="1"/>
  <c r="G284" i="59"/>
  <c r="F283" i="59"/>
  <c r="E283" i="59"/>
  <c r="E282" i="59" s="1"/>
  <c r="E281" i="59" s="1"/>
  <c r="E280" i="59" s="1"/>
  <c r="G279" i="59"/>
  <c r="G278" i="59"/>
  <c r="G277" i="59"/>
  <c r="G276" i="59"/>
  <c r="F276" i="59"/>
  <c r="E276" i="59"/>
  <c r="G274" i="59"/>
  <c r="G273" i="59"/>
  <c r="G272" i="59"/>
  <c r="F271" i="59"/>
  <c r="G271" i="59" s="1"/>
  <c r="E271" i="59"/>
  <c r="E270" i="59" s="1"/>
  <c r="F270" i="59"/>
  <c r="G268" i="59"/>
  <c r="G267" i="59"/>
  <c r="G266" i="59"/>
  <c r="F266" i="59"/>
  <c r="E266" i="59"/>
  <c r="G264" i="59"/>
  <c r="G263" i="59"/>
  <c r="F263" i="59"/>
  <c r="G262" i="59"/>
  <c r="F261" i="59"/>
  <c r="E261" i="59"/>
  <c r="E260" i="59" s="1"/>
  <c r="E259" i="59" s="1"/>
  <c r="E258" i="59"/>
  <c r="G256" i="59"/>
  <c r="F255" i="59"/>
  <c r="E255" i="59"/>
  <c r="G253" i="59"/>
  <c r="G252" i="59"/>
  <c r="G251" i="59"/>
  <c r="G250" i="59"/>
  <c r="F249" i="59"/>
  <c r="E249" i="59"/>
  <c r="G244" i="59"/>
  <c r="G243" i="59"/>
  <c r="G242" i="59"/>
  <c r="G241" i="59"/>
  <c r="F241" i="59"/>
  <c r="E241" i="59"/>
  <c r="G239" i="59"/>
  <c r="G238" i="59"/>
  <c r="G237" i="59"/>
  <c r="G236" i="59"/>
  <c r="G235" i="59"/>
  <c r="G234" i="59"/>
  <c r="G233" i="59"/>
  <c r="G232" i="59"/>
  <c r="G231" i="59"/>
  <c r="G230" i="59"/>
  <c r="F230" i="59"/>
  <c r="E230" i="59"/>
  <c r="F229" i="59"/>
  <c r="E229" i="59"/>
  <c r="G227" i="59"/>
  <c r="G226" i="59"/>
  <c r="G225" i="59"/>
  <c r="G224" i="59"/>
  <c r="G223" i="59"/>
  <c r="G222" i="59"/>
  <c r="G220" i="59"/>
  <c r="G219" i="59"/>
  <c r="G218" i="59"/>
  <c r="F217" i="59"/>
  <c r="E217" i="59"/>
  <c r="G215" i="59"/>
  <c r="E214" i="59"/>
  <c r="G214" i="59" s="1"/>
  <c r="G213" i="59"/>
  <c r="G212" i="59"/>
  <c r="F211" i="59"/>
  <c r="E211" i="59"/>
  <c r="E210" i="59"/>
  <c r="G207" i="59"/>
  <c r="G206" i="59"/>
  <c r="G205" i="59"/>
  <c r="G204" i="59"/>
  <c r="G203" i="59"/>
  <c r="G202" i="59"/>
  <c r="G201" i="59"/>
  <c r="G200" i="59"/>
  <c r="G199" i="59"/>
  <c r="G198" i="59"/>
  <c r="G197" i="59"/>
  <c r="G196" i="59"/>
  <c r="G195" i="59"/>
  <c r="G194" i="59"/>
  <c r="G193" i="59"/>
  <c r="G192" i="59"/>
  <c r="G191" i="59"/>
  <c r="G190" i="59"/>
  <c r="G189" i="59"/>
  <c r="G188" i="59"/>
  <c r="G187" i="59"/>
  <c r="G186" i="59"/>
  <c r="G185" i="59"/>
  <c r="G184" i="59"/>
  <c r="G183" i="59"/>
  <c r="G182" i="59"/>
  <c r="G181" i="59"/>
  <c r="G180" i="59"/>
  <c r="F180" i="59"/>
  <c r="E180" i="59"/>
  <c r="E179" i="59" s="1"/>
  <c r="F179" i="59"/>
  <c r="F178" i="59" s="1"/>
  <c r="E178" i="59"/>
  <c r="E177" i="59" s="1"/>
  <c r="G176" i="59"/>
  <c r="F175" i="59"/>
  <c r="G175" i="59" s="1"/>
  <c r="E175" i="59"/>
  <c r="G173" i="59"/>
  <c r="G172" i="59"/>
  <c r="G170" i="59"/>
  <c r="G169" i="59"/>
  <c r="F169" i="59"/>
  <c r="E169" i="59"/>
  <c r="G168" i="59"/>
  <c r="G167" i="59"/>
  <c r="F167" i="59"/>
  <c r="E167" i="59"/>
  <c r="G166" i="59"/>
  <c r="G165" i="59"/>
  <c r="F165" i="59"/>
  <c r="E165" i="59"/>
  <c r="G163" i="59"/>
  <c r="G162" i="59"/>
  <c r="G161" i="59"/>
  <c r="G160" i="59"/>
  <c r="G159" i="59"/>
  <c r="F159" i="59"/>
  <c r="F158" i="59" s="1"/>
  <c r="E159" i="59"/>
  <c r="E158" i="59"/>
  <c r="E157" i="59" s="1"/>
  <c r="E156" i="59" s="1"/>
  <c r="G155" i="59"/>
  <c r="F154" i="59"/>
  <c r="G154" i="59" s="1"/>
  <c r="E154" i="59"/>
  <c r="E153" i="59"/>
  <c r="E152" i="59"/>
  <c r="G151" i="59"/>
  <c r="G150" i="59"/>
  <c r="G149" i="59"/>
  <c r="G148" i="59"/>
  <c r="F148" i="59"/>
  <c r="E148" i="59"/>
  <c r="F147" i="59"/>
  <c r="G147" i="59" s="1"/>
  <c r="E147" i="59"/>
  <c r="G145" i="59"/>
  <c r="G144" i="59"/>
  <c r="G143" i="59"/>
  <c r="F143" i="59"/>
  <c r="E143" i="59"/>
  <c r="G141" i="59"/>
  <c r="G140" i="59"/>
  <c r="F139" i="59"/>
  <c r="E139" i="59"/>
  <c r="F138" i="59"/>
  <c r="F137" i="59"/>
  <c r="G135" i="59"/>
  <c r="G134" i="59"/>
  <c r="G133" i="59"/>
  <c r="G132" i="59"/>
  <c r="G131" i="59"/>
  <c r="G130" i="59"/>
  <c r="G129" i="59"/>
  <c r="G128" i="59"/>
  <c r="G127" i="59"/>
  <c r="G126" i="59"/>
  <c r="G125" i="59"/>
  <c r="G124" i="59"/>
  <c r="G123" i="59"/>
  <c r="G122" i="59"/>
  <c r="G121" i="59"/>
  <c r="G120" i="59"/>
  <c r="G119" i="59"/>
  <c r="G118" i="59"/>
  <c r="G117" i="59"/>
  <c r="G116" i="59"/>
  <c r="G115" i="59"/>
  <c r="G114" i="59"/>
  <c r="G113" i="59"/>
  <c r="G112" i="59"/>
  <c r="G111" i="59"/>
  <c r="G110" i="59"/>
  <c r="G109" i="59"/>
  <c r="G108" i="59"/>
  <c r="G107" i="59"/>
  <c r="G106" i="59"/>
  <c r="F105" i="59"/>
  <c r="E105" i="59"/>
  <c r="F104" i="59"/>
  <c r="G102" i="59"/>
  <c r="F101" i="59"/>
  <c r="E101" i="59"/>
  <c r="G100" i="59"/>
  <c r="G99" i="59"/>
  <c r="F97" i="59"/>
  <c r="E97" i="59"/>
  <c r="E96" i="59" s="1"/>
  <c r="G95" i="59"/>
  <c r="G94" i="59"/>
  <c r="F93" i="59"/>
  <c r="G93" i="59" s="1"/>
  <c r="E93" i="59"/>
  <c r="G92" i="59"/>
  <c r="G91" i="59"/>
  <c r="G90" i="59"/>
  <c r="G89" i="59"/>
  <c r="G88" i="59"/>
  <c r="G87" i="59"/>
  <c r="G86" i="59"/>
  <c r="G85" i="59"/>
  <c r="G84" i="59"/>
  <c r="G83" i="59"/>
  <c r="G82" i="59"/>
  <c r="F82" i="59"/>
  <c r="E82" i="59"/>
  <c r="G80" i="59"/>
  <c r="G79" i="59"/>
  <c r="G78" i="59"/>
  <c r="G77" i="59"/>
  <c r="F76" i="59"/>
  <c r="E76" i="59"/>
  <c r="E75" i="59" s="1"/>
  <c r="E74" i="59" s="1"/>
  <c r="E73" i="59" s="1"/>
  <c r="G72" i="59"/>
  <c r="F71" i="59"/>
  <c r="E71" i="59"/>
  <c r="E2066" i="59" s="1"/>
  <c r="G69" i="59"/>
  <c r="G68" i="59"/>
  <c r="G67" i="59"/>
  <c r="G66" i="59"/>
  <c r="G65" i="59"/>
  <c r="G64" i="59"/>
  <c r="G63" i="59"/>
  <c r="G62" i="59"/>
  <c r="G61" i="59"/>
  <c r="G60" i="59"/>
  <c r="G59" i="59"/>
  <c r="G58" i="59"/>
  <c r="F58" i="59"/>
  <c r="E58" i="59"/>
  <c r="G56" i="59"/>
  <c r="G55" i="59"/>
  <c r="G54" i="59"/>
  <c r="G53" i="59"/>
  <c r="F51" i="59"/>
  <c r="E51" i="59"/>
  <c r="E50" i="59"/>
  <c r="G47" i="59"/>
  <c r="F46" i="59"/>
  <c r="E46" i="59"/>
  <c r="F45" i="59"/>
  <c r="G43" i="59"/>
  <c r="F42" i="59"/>
  <c r="G42" i="59" s="1"/>
  <c r="E42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F22" i="59"/>
  <c r="E22" i="59"/>
  <c r="G20" i="59"/>
  <c r="G19" i="59"/>
  <c r="G18" i="59"/>
  <c r="G17" i="59"/>
  <c r="G16" i="59"/>
  <c r="G15" i="59"/>
  <c r="E15" i="59"/>
  <c r="G263" i="58"/>
  <c r="H263" i="58"/>
  <c r="H261" i="58"/>
  <c r="H262" i="58"/>
  <c r="H99" i="58"/>
  <c r="G99" i="58"/>
  <c r="H92" i="58"/>
  <c r="G477" i="58"/>
  <c r="H477" i="58" s="1"/>
  <c r="I477" i="58" s="1"/>
  <c r="F477" i="58"/>
  <c r="E477" i="58"/>
  <c r="G476" i="58"/>
  <c r="H476" i="58" s="1"/>
  <c r="I476" i="58" s="1"/>
  <c r="F476" i="58"/>
  <c r="E476" i="58"/>
  <c r="G474" i="58"/>
  <c r="F474" i="58"/>
  <c r="H474" i="58" s="1"/>
  <c r="G473" i="58"/>
  <c r="H469" i="58"/>
  <c r="H468" i="58"/>
  <c r="I468" i="58" s="1"/>
  <c r="F467" i="58"/>
  <c r="H467" i="58" s="1"/>
  <c r="I467" i="58" s="1"/>
  <c r="E467" i="58"/>
  <c r="F466" i="58"/>
  <c r="H466" i="58" s="1"/>
  <c r="E466" i="58"/>
  <c r="E459" i="58" s="1"/>
  <c r="H465" i="58"/>
  <c r="H464" i="58"/>
  <c r="I464" i="58" s="1"/>
  <c r="H463" i="58"/>
  <c r="I463" i="58" s="1"/>
  <c r="H462" i="58"/>
  <c r="I462" i="58" s="1"/>
  <c r="I461" i="58"/>
  <c r="H461" i="58"/>
  <c r="F461" i="58"/>
  <c r="E461" i="58"/>
  <c r="I460" i="58"/>
  <c r="H460" i="58"/>
  <c r="F460" i="58"/>
  <c r="E460" i="58"/>
  <c r="I459" i="58"/>
  <c r="H459" i="58"/>
  <c r="F459" i="58"/>
  <c r="H458" i="58"/>
  <c r="I457" i="58"/>
  <c r="H457" i="58"/>
  <c r="H456" i="58"/>
  <c r="I456" i="58" s="1"/>
  <c r="F456" i="58"/>
  <c r="E456" i="58"/>
  <c r="F455" i="58"/>
  <c r="H455" i="58" s="1"/>
  <c r="I455" i="58" s="1"/>
  <c r="E455" i="58"/>
  <c r="H454" i="58"/>
  <c r="I454" i="58" s="1"/>
  <c r="F453" i="58"/>
  <c r="H453" i="58" s="1"/>
  <c r="I453" i="58" s="1"/>
  <c r="E453" i="58"/>
  <c r="H452" i="58"/>
  <c r="F451" i="58"/>
  <c r="H451" i="58" s="1"/>
  <c r="E451" i="58"/>
  <c r="H450" i="58"/>
  <c r="H449" i="58"/>
  <c r="I449" i="58" s="1"/>
  <c r="I448" i="58"/>
  <c r="H448" i="58"/>
  <c r="F447" i="58"/>
  <c r="E447" i="58"/>
  <c r="E446" i="58"/>
  <c r="H445" i="58"/>
  <c r="I445" i="58" s="1"/>
  <c r="F444" i="58"/>
  <c r="H444" i="58" s="1"/>
  <c r="E444" i="58"/>
  <c r="E442" i="58" s="1"/>
  <c r="H443" i="58"/>
  <c r="F442" i="58"/>
  <c r="H442" i="58" s="1"/>
  <c r="H441" i="58"/>
  <c r="H440" i="58"/>
  <c r="I440" i="58" s="1"/>
  <c r="F439" i="58"/>
  <c r="H439" i="58" s="1"/>
  <c r="E439" i="58"/>
  <c r="E438" i="58" s="1"/>
  <c r="F438" i="58"/>
  <c r="H438" i="58" s="1"/>
  <c r="I438" i="58" s="1"/>
  <c r="H437" i="58"/>
  <c r="H436" i="58"/>
  <c r="I436" i="58" s="1"/>
  <c r="I435" i="58"/>
  <c r="H435" i="58"/>
  <c r="F435" i="58"/>
  <c r="E435" i="58"/>
  <c r="I434" i="58"/>
  <c r="H434" i="58"/>
  <c r="F434" i="58"/>
  <c r="E434" i="58"/>
  <c r="H432" i="58"/>
  <c r="I431" i="58"/>
  <c r="H431" i="58"/>
  <c r="H430" i="58"/>
  <c r="I430" i="58" s="1"/>
  <c r="I429" i="58"/>
  <c r="H429" i="58"/>
  <c r="H428" i="58"/>
  <c r="I428" i="58" s="1"/>
  <c r="F428" i="58"/>
  <c r="E428" i="58"/>
  <c r="F427" i="58"/>
  <c r="H427" i="58" s="1"/>
  <c r="I427" i="58" s="1"/>
  <c r="E427" i="58"/>
  <c r="H426" i="58"/>
  <c r="H425" i="58"/>
  <c r="I425" i="58" s="1"/>
  <c r="H424" i="58"/>
  <c r="I424" i="58" s="1"/>
  <c r="I423" i="58"/>
  <c r="H423" i="58"/>
  <c r="F422" i="58"/>
  <c r="H422" i="58" s="1"/>
  <c r="I422" i="58" s="1"/>
  <c r="E422" i="58"/>
  <c r="E421" i="58"/>
  <c r="H420" i="58"/>
  <c r="H419" i="58"/>
  <c r="I419" i="58" s="1"/>
  <c r="F418" i="58"/>
  <c r="H418" i="58" s="1"/>
  <c r="E418" i="58"/>
  <c r="E417" i="58" s="1"/>
  <c r="E404" i="58" s="1"/>
  <c r="F417" i="58"/>
  <c r="H417" i="58" s="1"/>
  <c r="H416" i="58"/>
  <c r="H415" i="58"/>
  <c r="I415" i="58" s="1"/>
  <c r="I414" i="58"/>
  <c r="H414" i="58"/>
  <c r="F414" i="58"/>
  <c r="E414" i="58"/>
  <c r="I413" i="58"/>
  <c r="H413" i="58"/>
  <c r="F413" i="58"/>
  <c r="E413" i="58"/>
  <c r="H412" i="58"/>
  <c r="I411" i="58"/>
  <c r="H411" i="58"/>
  <c r="F410" i="58"/>
  <c r="E410" i="58"/>
  <c r="E409" i="58"/>
  <c r="H408" i="58"/>
  <c r="H407" i="58"/>
  <c r="H406" i="58"/>
  <c r="F406" i="58"/>
  <c r="E406" i="58"/>
  <c r="E405" i="58" s="1"/>
  <c r="H405" i="58"/>
  <c r="F405" i="58"/>
  <c r="H403" i="58"/>
  <c r="H402" i="58"/>
  <c r="I402" i="58" s="1"/>
  <c r="H401" i="58"/>
  <c r="I401" i="58" s="1"/>
  <c r="I400" i="58"/>
  <c r="H400" i="58"/>
  <c r="F399" i="58"/>
  <c r="H399" i="58" s="1"/>
  <c r="I399" i="58" s="1"/>
  <c r="E399" i="58"/>
  <c r="E398" i="58" s="1"/>
  <c r="H397" i="58"/>
  <c r="H396" i="58"/>
  <c r="I396" i="58" s="1"/>
  <c r="G395" i="58"/>
  <c r="F395" i="58"/>
  <c r="E395" i="58"/>
  <c r="E394" i="58" s="1"/>
  <c r="G394" i="58"/>
  <c r="H393" i="58"/>
  <c r="H392" i="58"/>
  <c r="I392" i="58" s="1"/>
  <c r="H391" i="58"/>
  <c r="I391" i="58" s="1"/>
  <c r="I390" i="58"/>
  <c r="H390" i="58"/>
  <c r="F389" i="58"/>
  <c r="H389" i="58" s="1"/>
  <c r="I389" i="58" s="1"/>
  <c r="E389" i="58"/>
  <c r="E388" i="58"/>
  <c r="G387" i="58"/>
  <c r="H386" i="58"/>
  <c r="I386" i="58" s="1"/>
  <c r="F385" i="58"/>
  <c r="H385" i="58" s="1"/>
  <c r="I385" i="58" s="1"/>
  <c r="E385" i="58"/>
  <c r="E376" i="58" s="1"/>
  <c r="I384" i="58"/>
  <c r="H384" i="58"/>
  <c r="H383" i="58"/>
  <c r="I383" i="58" s="1"/>
  <c r="I382" i="58"/>
  <c r="H382" i="58"/>
  <c r="H381" i="58"/>
  <c r="I381" i="58" s="1"/>
  <c r="I380" i="58"/>
  <c r="H380" i="58"/>
  <c r="H379" i="58"/>
  <c r="I379" i="58" s="1"/>
  <c r="I378" i="58"/>
  <c r="H378" i="58"/>
  <c r="F377" i="58"/>
  <c r="E377" i="58"/>
  <c r="H375" i="58"/>
  <c r="I375" i="58" s="1"/>
  <c r="F374" i="58"/>
  <c r="H374" i="58" s="1"/>
  <c r="I374" i="58" s="1"/>
  <c r="E374" i="58"/>
  <c r="E367" i="58" s="1"/>
  <c r="I373" i="58"/>
  <c r="H373" i="58"/>
  <c r="H372" i="58"/>
  <c r="I372" i="58" s="1"/>
  <c r="I371" i="58"/>
  <c r="H371" i="58"/>
  <c r="H370" i="58"/>
  <c r="I370" i="58" s="1"/>
  <c r="I369" i="58"/>
  <c r="H369" i="58"/>
  <c r="H368" i="58"/>
  <c r="I368" i="58" s="1"/>
  <c r="F368" i="58"/>
  <c r="E368" i="58"/>
  <c r="F367" i="58"/>
  <c r="H367" i="58" s="1"/>
  <c r="I367" i="58" s="1"/>
  <c r="H366" i="58"/>
  <c r="I365" i="58"/>
  <c r="H365" i="58"/>
  <c r="F364" i="58"/>
  <c r="H364" i="58" s="1"/>
  <c r="I364" i="58" s="1"/>
  <c r="E364" i="58"/>
  <c r="E363" i="58" s="1"/>
  <c r="E362" i="58" s="1"/>
  <c r="H361" i="58"/>
  <c r="I361" i="58" s="1"/>
  <c r="H360" i="58"/>
  <c r="I360" i="58" s="1"/>
  <c r="F359" i="58"/>
  <c r="H359" i="58" s="1"/>
  <c r="E359" i="58"/>
  <c r="E350" i="58" s="1"/>
  <c r="H358" i="58"/>
  <c r="I358" i="58" s="1"/>
  <c r="I357" i="58"/>
  <c r="H357" i="58"/>
  <c r="H356" i="58"/>
  <c r="I356" i="58" s="1"/>
  <c r="H355" i="58"/>
  <c r="I355" i="58" s="1"/>
  <c r="H354" i="58"/>
  <c r="I354" i="58" s="1"/>
  <c r="I353" i="58"/>
  <c r="H353" i="58"/>
  <c r="H352" i="58"/>
  <c r="I352" i="58" s="1"/>
  <c r="H351" i="58"/>
  <c r="I351" i="58" s="1"/>
  <c r="G351" i="58"/>
  <c r="F351" i="58"/>
  <c r="E351" i="58"/>
  <c r="G350" i="58"/>
  <c r="F350" i="58"/>
  <c r="H349" i="58"/>
  <c r="H348" i="58"/>
  <c r="I348" i="58" s="1"/>
  <c r="I347" i="58"/>
  <c r="H347" i="58"/>
  <c r="H346" i="58"/>
  <c r="I346" i="58" s="1"/>
  <c r="F345" i="58"/>
  <c r="H345" i="58" s="1"/>
  <c r="I345" i="58" s="1"/>
  <c r="E345" i="58"/>
  <c r="F344" i="58"/>
  <c r="H344" i="58" s="1"/>
  <c r="E344" i="58"/>
  <c r="I344" i="58" s="1"/>
  <c r="H343" i="58"/>
  <c r="H342" i="58"/>
  <c r="I342" i="58" s="1"/>
  <c r="H341" i="58"/>
  <c r="I341" i="58" s="1"/>
  <c r="F341" i="58"/>
  <c r="E341" i="58"/>
  <c r="H340" i="58"/>
  <c r="I340" i="58" s="1"/>
  <c r="F340" i="58"/>
  <c r="E340" i="58"/>
  <c r="G339" i="58"/>
  <c r="H338" i="58"/>
  <c r="H337" i="58"/>
  <c r="I337" i="58" s="1"/>
  <c r="H336" i="58"/>
  <c r="I336" i="58" s="1"/>
  <c r="G336" i="58"/>
  <c r="F336" i="58"/>
  <c r="E336" i="58"/>
  <c r="G335" i="58"/>
  <c r="F335" i="58"/>
  <c r="H335" i="58" s="1"/>
  <c r="I335" i="58" s="1"/>
  <c r="E335" i="58"/>
  <c r="H334" i="58"/>
  <c r="H333" i="58"/>
  <c r="I333" i="58" s="1"/>
  <c r="G332" i="58"/>
  <c r="F332" i="58"/>
  <c r="E332" i="58"/>
  <c r="E331" i="58" s="1"/>
  <c r="G331" i="58"/>
  <c r="H330" i="58"/>
  <c r="I330" i="58" s="1"/>
  <c r="I329" i="58"/>
  <c r="H329" i="58"/>
  <c r="G328" i="58"/>
  <c r="F328" i="58"/>
  <c r="E328" i="58"/>
  <c r="H327" i="58"/>
  <c r="F326" i="58"/>
  <c r="E326" i="58"/>
  <c r="H325" i="58"/>
  <c r="I325" i="58" s="1"/>
  <c r="I324" i="58"/>
  <c r="H324" i="58"/>
  <c r="F324" i="58"/>
  <c r="E324" i="58"/>
  <c r="H323" i="58"/>
  <c r="F322" i="58"/>
  <c r="H322" i="58" s="1"/>
  <c r="I322" i="58" s="1"/>
  <c r="E322" i="58"/>
  <c r="E321" i="58"/>
  <c r="H320" i="58"/>
  <c r="H319" i="58"/>
  <c r="I319" i="58" s="1"/>
  <c r="F318" i="58"/>
  <c r="H318" i="58" s="1"/>
  <c r="I318" i="58" s="1"/>
  <c r="E318" i="58"/>
  <c r="F317" i="58"/>
  <c r="H317" i="58" s="1"/>
  <c r="E317" i="58"/>
  <c r="E316" i="58" s="1"/>
  <c r="F316" i="58"/>
  <c r="H316" i="58" s="1"/>
  <c r="I316" i="58" s="1"/>
  <c r="I315" i="58"/>
  <c r="H315" i="58"/>
  <c r="H314" i="58"/>
  <c r="I314" i="58" s="1"/>
  <c r="F314" i="58"/>
  <c r="E314" i="58"/>
  <c r="H313" i="58"/>
  <c r="I313" i="58" s="1"/>
  <c r="I312" i="58"/>
  <c r="H312" i="58"/>
  <c r="H311" i="58"/>
  <c r="H310" i="58"/>
  <c r="I310" i="58" s="1"/>
  <c r="H309" i="58"/>
  <c r="I309" i="58" s="1"/>
  <c r="H308" i="58"/>
  <c r="G308" i="58"/>
  <c r="F308" i="58"/>
  <c r="E308" i="58"/>
  <c r="E307" i="58" s="1"/>
  <c r="I307" i="58" s="1"/>
  <c r="G307" i="58"/>
  <c r="F307" i="58"/>
  <c r="H307" i="58" s="1"/>
  <c r="H306" i="58"/>
  <c r="H305" i="58"/>
  <c r="I305" i="58" s="1"/>
  <c r="I304" i="58"/>
  <c r="H304" i="58"/>
  <c r="H303" i="58"/>
  <c r="I303" i="58" s="1"/>
  <c r="I302" i="58"/>
  <c r="H302" i="58"/>
  <c r="H301" i="58"/>
  <c r="I301" i="58" s="1"/>
  <c r="F301" i="58"/>
  <c r="E301" i="58"/>
  <c r="F300" i="58"/>
  <c r="H300" i="58" s="1"/>
  <c r="I300" i="58" s="1"/>
  <c r="E300" i="58"/>
  <c r="H299" i="58"/>
  <c r="H298" i="58"/>
  <c r="I297" i="58"/>
  <c r="H297" i="58"/>
  <c r="H296" i="58"/>
  <c r="I296" i="58" s="1"/>
  <c r="H295" i="58"/>
  <c r="H294" i="58"/>
  <c r="I294" i="58" s="1"/>
  <c r="H293" i="58"/>
  <c r="I293" i="58" s="1"/>
  <c r="G292" i="58"/>
  <c r="F292" i="58"/>
  <c r="E292" i="58"/>
  <c r="G291" i="58"/>
  <c r="E291" i="58"/>
  <c r="H290" i="58"/>
  <c r="I289" i="58"/>
  <c r="H289" i="58"/>
  <c r="H288" i="58"/>
  <c r="H287" i="58"/>
  <c r="I287" i="58" s="1"/>
  <c r="F287" i="58"/>
  <c r="E287" i="58"/>
  <c r="H286" i="58"/>
  <c r="I286" i="58" s="1"/>
  <c r="F286" i="58"/>
  <c r="E286" i="58"/>
  <c r="H285" i="58"/>
  <c r="I284" i="58"/>
  <c r="H284" i="58"/>
  <c r="H283" i="58"/>
  <c r="I283" i="58" s="1"/>
  <c r="F283" i="58"/>
  <c r="E283" i="58"/>
  <c r="F282" i="58"/>
  <c r="H282" i="58" s="1"/>
  <c r="I282" i="58" s="1"/>
  <c r="E282" i="58"/>
  <c r="H281" i="58"/>
  <c r="H280" i="58"/>
  <c r="I280" i="58" s="1"/>
  <c r="F279" i="58"/>
  <c r="H279" i="58" s="1"/>
  <c r="E279" i="58"/>
  <c r="E278" i="58"/>
  <c r="G277" i="58"/>
  <c r="H276" i="58"/>
  <c r="I276" i="58" s="1"/>
  <c r="I275" i="58"/>
  <c r="H275" i="58"/>
  <c r="H274" i="58"/>
  <c r="I274" i="58" s="1"/>
  <c r="G274" i="58"/>
  <c r="F274" i="58"/>
  <c r="E274" i="58"/>
  <c r="I273" i="58"/>
  <c r="H273" i="58"/>
  <c r="I272" i="58"/>
  <c r="H272" i="58"/>
  <c r="I271" i="58"/>
  <c r="H271" i="58"/>
  <c r="I270" i="58"/>
  <c r="H270" i="58"/>
  <c r="I269" i="58"/>
  <c r="H269" i="58"/>
  <c r="G268" i="58"/>
  <c r="G267" i="58" s="1"/>
  <c r="F268" i="58"/>
  <c r="E268" i="58"/>
  <c r="E267" i="58" s="1"/>
  <c r="H266" i="58"/>
  <c r="I266" i="58" s="1"/>
  <c r="H265" i="58"/>
  <c r="H264" i="58"/>
  <c r="I264" i="58" s="1"/>
  <c r="I263" i="58"/>
  <c r="I262" i="58"/>
  <c r="I261" i="58"/>
  <c r="G260" i="58"/>
  <c r="F260" i="58"/>
  <c r="H260" i="58" s="1"/>
  <c r="E260" i="58"/>
  <c r="I259" i="58"/>
  <c r="H258" i="58"/>
  <c r="I258" i="58" s="1"/>
  <c r="I257" i="58"/>
  <c r="H257" i="58"/>
  <c r="I256" i="58"/>
  <c r="H255" i="58"/>
  <c r="G255" i="58"/>
  <c r="F255" i="58"/>
  <c r="E255" i="58"/>
  <c r="E254" i="58" s="1"/>
  <c r="G254" i="58"/>
  <c r="F254" i="58"/>
  <c r="H254" i="58" s="1"/>
  <c r="H253" i="58"/>
  <c r="H252" i="58"/>
  <c r="I252" i="58" s="1"/>
  <c r="G251" i="58"/>
  <c r="F251" i="58"/>
  <c r="H251" i="58" s="1"/>
  <c r="E251" i="58"/>
  <c r="G250" i="58"/>
  <c r="F250" i="58"/>
  <c r="H250" i="58" s="1"/>
  <c r="H249" i="58"/>
  <c r="H248" i="58"/>
  <c r="I248" i="58" s="1"/>
  <c r="H247" i="58"/>
  <c r="I247" i="58" s="1"/>
  <c r="G247" i="58"/>
  <c r="F247" i="58"/>
  <c r="F246" i="58" s="1"/>
  <c r="H246" i="58" s="1"/>
  <c r="E247" i="58"/>
  <c r="I246" i="58"/>
  <c r="G246" i="58"/>
  <c r="E246" i="58"/>
  <c r="H245" i="58"/>
  <c r="I244" i="58"/>
  <c r="H244" i="58"/>
  <c r="G243" i="58"/>
  <c r="F243" i="58"/>
  <c r="E243" i="58"/>
  <c r="E242" i="58" s="1"/>
  <c r="F242" i="58"/>
  <c r="I241" i="58"/>
  <c r="H241" i="58"/>
  <c r="G240" i="58"/>
  <c r="H240" i="58" s="1"/>
  <c r="I240" i="58" s="1"/>
  <c r="F240" i="58"/>
  <c r="E240" i="58"/>
  <c r="H239" i="58"/>
  <c r="G238" i="58"/>
  <c r="F238" i="58"/>
  <c r="E238" i="58"/>
  <c r="H237" i="58"/>
  <c r="I236" i="58"/>
  <c r="H236" i="58"/>
  <c r="G235" i="58"/>
  <c r="G234" i="58" s="1"/>
  <c r="F235" i="58"/>
  <c r="H235" i="58" s="1"/>
  <c r="I235" i="58" s="1"/>
  <c r="E235" i="58"/>
  <c r="E234" i="58" s="1"/>
  <c r="F234" i="58"/>
  <c r="H234" i="58" s="1"/>
  <c r="I234" i="58" s="1"/>
  <c r="H232" i="58"/>
  <c r="I231" i="58"/>
  <c r="H231" i="58"/>
  <c r="I230" i="58"/>
  <c r="H230" i="58"/>
  <c r="I229" i="58"/>
  <c r="G229" i="58"/>
  <c r="G228" i="58" s="1"/>
  <c r="G220" i="58" s="1"/>
  <c r="F229" i="58"/>
  <c r="H229" i="58" s="1"/>
  <c r="E229" i="58"/>
  <c r="E228" i="58" s="1"/>
  <c r="H228" i="58"/>
  <c r="I228" i="58" s="1"/>
  <c r="F228" i="58"/>
  <c r="H227" i="58"/>
  <c r="H226" i="58"/>
  <c r="I226" i="58" s="1"/>
  <c r="H225" i="58"/>
  <c r="I225" i="58" s="1"/>
  <c r="H224" i="58"/>
  <c r="I224" i="58" s="1"/>
  <c r="H223" i="58"/>
  <c r="I223" i="58" s="1"/>
  <c r="H222" i="58"/>
  <c r="I222" i="58" s="1"/>
  <c r="F222" i="58"/>
  <c r="E222" i="58"/>
  <c r="H221" i="58"/>
  <c r="F221" i="58"/>
  <c r="E221" i="58"/>
  <c r="E220" i="58" s="1"/>
  <c r="F220" i="58"/>
  <c r="H220" i="58" s="1"/>
  <c r="I220" i="58" s="1"/>
  <c r="H218" i="58"/>
  <c r="H217" i="58" s="1"/>
  <c r="H216" i="58" s="1"/>
  <c r="H215" i="58" s="1"/>
  <c r="G217" i="58"/>
  <c r="G216" i="58" s="1"/>
  <c r="G215" i="58" s="1"/>
  <c r="F217" i="58"/>
  <c r="E217" i="58"/>
  <c r="E473" i="58" s="1"/>
  <c r="F216" i="58"/>
  <c r="F215" i="58"/>
  <c r="H214" i="58"/>
  <c r="I214" i="58" s="1"/>
  <c r="G213" i="58"/>
  <c r="F213" i="58"/>
  <c r="F200" i="58" s="1"/>
  <c r="E213" i="58"/>
  <c r="I212" i="58"/>
  <c r="H212" i="58"/>
  <c r="I211" i="58"/>
  <c r="H211" i="58"/>
  <c r="I210" i="58"/>
  <c r="H210" i="58"/>
  <c r="I209" i="58"/>
  <c r="H209" i="58"/>
  <c r="I208" i="58"/>
  <c r="H208" i="58"/>
  <c r="I207" i="58"/>
  <c r="H207" i="58"/>
  <c r="I206" i="58"/>
  <c r="H206" i="58"/>
  <c r="I205" i="58"/>
  <c r="H205" i="58"/>
  <c r="I204" i="58"/>
  <c r="H204" i="58"/>
  <c r="I203" i="58"/>
  <c r="H203" i="58"/>
  <c r="I202" i="58"/>
  <c r="H202" i="58"/>
  <c r="G201" i="58"/>
  <c r="F201" i="58"/>
  <c r="E201" i="58"/>
  <c r="E200" i="58" s="1"/>
  <c r="H199" i="58"/>
  <c r="H198" i="58"/>
  <c r="I198" i="58" s="1"/>
  <c r="H197" i="58"/>
  <c r="I197" i="58" s="1"/>
  <c r="G197" i="58"/>
  <c r="F197" i="58"/>
  <c r="F196" i="58" s="1"/>
  <c r="H196" i="58" s="1"/>
  <c r="E197" i="58"/>
  <c r="I196" i="58"/>
  <c r="G196" i="58"/>
  <c r="E196" i="58"/>
  <c r="H195" i="58"/>
  <c r="I195" i="58" s="1"/>
  <c r="H194" i="58"/>
  <c r="I194" i="58" s="1"/>
  <c r="F194" i="58"/>
  <c r="E194" i="58"/>
  <c r="H193" i="58"/>
  <c r="I193" i="58" s="1"/>
  <c r="H192" i="58"/>
  <c r="I192" i="58" s="1"/>
  <c r="F192" i="58"/>
  <c r="E192" i="58"/>
  <c r="E191" i="58" s="1"/>
  <c r="H191" i="58"/>
  <c r="F191" i="58"/>
  <c r="H190" i="58"/>
  <c r="I189" i="58"/>
  <c r="H189" i="58"/>
  <c r="I188" i="58"/>
  <c r="H188" i="58"/>
  <c r="I187" i="58"/>
  <c r="H187" i="58"/>
  <c r="I186" i="58"/>
  <c r="H186" i="58"/>
  <c r="I185" i="58"/>
  <c r="H185" i="58"/>
  <c r="I184" i="58"/>
  <c r="H184" i="58"/>
  <c r="F183" i="58"/>
  <c r="H183" i="58" s="1"/>
  <c r="I183" i="58" s="1"/>
  <c r="E183" i="58"/>
  <c r="E182" i="58"/>
  <c r="H181" i="58"/>
  <c r="H180" i="58"/>
  <c r="I180" i="58" s="1"/>
  <c r="H179" i="58"/>
  <c r="I179" i="58" s="1"/>
  <c r="H178" i="58"/>
  <c r="I178" i="58" s="1"/>
  <c r="G178" i="58"/>
  <c r="F178" i="58"/>
  <c r="F177" i="58" s="1"/>
  <c r="H177" i="58" s="1"/>
  <c r="E178" i="58"/>
  <c r="I177" i="58"/>
  <c r="G177" i="58"/>
  <c r="E177" i="58"/>
  <c r="H176" i="58"/>
  <c r="I175" i="58"/>
  <c r="H175" i="58"/>
  <c r="H174" i="58"/>
  <c r="H173" i="58"/>
  <c r="I173" i="58" s="1"/>
  <c r="I172" i="58"/>
  <c r="H172" i="58"/>
  <c r="H171" i="58"/>
  <c r="E171" i="58"/>
  <c r="I170" i="58"/>
  <c r="H170" i="58"/>
  <c r="E170" i="58"/>
  <c r="H169" i="58"/>
  <c r="I169" i="58" s="1"/>
  <c r="H168" i="58"/>
  <c r="I168" i="58" s="1"/>
  <c r="H167" i="58"/>
  <c r="F167" i="58"/>
  <c r="H166" i="58"/>
  <c r="F166" i="58"/>
  <c r="H165" i="58"/>
  <c r="I164" i="58"/>
  <c r="H164" i="58"/>
  <c r="H163" i="58"/>
  <c r="I163" i="58" s="1"/>
  <c r="G162" i="58"/>
  <c r="F162" i="58"/>
  <c r="E162" i="58"/>
  <c r="E161" i="58" s="1"/>
  <c r="G161" i="58"/>
  <c r="H161" i="58" s="1"/>
  <c r="I161" i="58" s="1"/>
  <c r="F161" i="58"/>
  <c r="H159" i="58"/>
  <c r="I158" i="58"/>
  <c r="H158" i="58"/>
  <c r="H157" i="58"/>
  <c r="H156" i="58"/>
  <c r="I156" i="58" s="1"/>
  <c r="H155" i="58"/>
  <c r="I155" i="58" s="1"/>
  <c r="F155" i="58"/>
  <c r="E155" i="58"/>
  <c r="E154" i="58" s="1"/>
  <c r="E153" i="58" s="1"/>
  <c r="F154" i="58"/>
  <c r="F153" i="58" s="1"/>
  <c r="H153" i="58" s="1"/>
  <c r="H152" i="58"/>
  <c r="H151" i="58"/>
  <c r="I151" i="58" s="1"/>
  <c r="I150" i="58"/>
  <c r="F150" i="58"/>
  <c r="H150" i="58" s="1"/>
  <c r="E150" i="58"/>
  <c r="E149" i="58" s="1"/>
  <c r="E148" i="58" s="1"/>
  <c r="F149" i="58"/>
  <c r="H149" i="58" s="1"/>
  <c r="H147" i="58"/>
  <c r="H146" i="58"/>
  <c r="F145" i="58"/>
  <c r="H145" i="58" s="1"/>
  <c r="E145" i="58"/>
  <c r="E144" i="58"/>
  <c r="H143" i="58"/>
  <c r="H142" i="58"/>
  <c r="I142" i="58" s="1"/>
  <c r="H141" i="58"/>
  <c r="I141" i="58" s="1"/>
  <c r="F141" i="58"/>
  <c r="H140" i="58"/>
  <c r="I140" i="58" s="1"/>
  <c r="I139" i="58"/>
  <c r="H139" i="58"/>
  <c r="H138" i="58"/>
  <c r="I138" i="58" s="1"/>
  <c r="I137" i="58"/>
  <c r="H137" i="58"/>
  <c r="G136" i="58"/>
  <c r="G135" i="58" s="1"/>
  <c r="F136" i="58"/>
  <c r="E136" i="58"/>
  <c r="F135" i="58"/>
  <c r="H135" i="58" s="1"/>
  <c r="I135" i="58" s="1"/>
  <c r="E135" i="58"/>
  <c r="H134" i="58"/>
  <c r="H133" i="58"/>
  <c r="I133" i="58" s="1"/>
  <c r="G132" i="58"/>
  <c r="F132" i="58"/>
  <c r="H132" i="58" s="1"/>
  <c r="I132" i="58" s="1"/>
  <c r="E132" i="58"/>
  <c r="G131" i="58"/>
  <c r="F131" i="58"/>
  <c r="H131" i="58" s="1"/>
  <c r="I131" i="58" s="1"/>
  <c r="E131" i="58"/>
  <c r="E125" i="58" s="1"/>
  <c r="H130" i="58"/>
  <c r="H129" i="58"/>
  <c r="I129" i="58" s="1"/>
  <c r="I128" i="58"/>
  <c r="H128" i="58"/>
  <c r="F127" i="58"/>
  <c r="H127" i="58" s="1"/>
  <c r="I127" i="58" s="1"/>
  <c r="E127" i="58"/>
  <c r="E126" i="58"/>
  <c r="G125" i="58"/>
  <c r="H124" i="58"/>
  <c r="I124" i="58" s="1"/>
  <c r="H123" i="58"/>
  <c r="I123" i="58" s="1"/>
  <c r="H122" i="58"/>
  <c r="I122" i="58" s="1"/>
  <c r="F122" i="58"/>
  <c r="E122" i="58"/>
  <c r="E117" i="58" s="1"/>
  <c r="E116" i="58" s="1"/>
  <c r="H121" i="58"/>
  <c r="I121" i="58" s="1"/>
  <c r="H120" i="58"/>
  <c r="I120" i="58" s="1"/>
  <c r="I119" i="58"/>
  <c r="H119" i="58"/>
  <c r="F118" i="58"/>
  <c r="H118" i="58" s="1"/>
  <c r="I118" i="58" s="1"/>
  <c r="E118" i="58"/>
  <c r="F117" i="58"/>
  <c r="F116" i="58" s="1"/>
  <c r="H116" i="58" s="1"/>
  <c r="H115" i="58"/>
  <c r="H114" i="58"/>
  <c r="I114" i="58" s="1"/>
  <c r="G113" i="58"/>
  <c r="F113" i="58"/>
  <c r="F112" i="58" s="1"/>
  <c r="H112" i="58" s="1"/>
  <c r="I112" i="58" s="1"/>
  <c r="E113" i="58"/>
  <c r="G112" i="58"/>
  <c r="G107" i="58" s="1"/>
  <c r="E112" i="58"/>
  <c r="H111" i="58"/>
  <c r="H110" i="58"/>
  <c r="F109" i="58"/>
  <c r="H109" i="58" s="1"/>
  <c r="E109" i="58"/>
  <c r="E108" i="58" s="1"/>
  <c r="E107" i="58" s="1"/>
  <c r="H106" i="58"/>
  <c r="H105" i="58"/>
  <c r="I105" i="58" s="1"/>
  <c r="H104" i="58"/>
  <c r="I104" i="58" s="1"/>
  <c r="F104" i="58"/>
  <c r="F473" i="58" s="1"/>
  <c r="H103" i="58"/>
  <c r="I103" i="58" s="1"/>
  <c r="G102" i="58"/>
  <c r="F102" i="58"/>
  <c r="H102" i="58" s="1"/>
  <c r="I102" i="58" s="1"/>
  <c r="E102" i="58"/>
  <c r="E101" i="58" s="1"/>
  <c r="G101" i="58"/>
  <c r="F101" i="58"/>
  <c r="H101" i="58" s="1"/>
  <c r="H100" i="58"/>
  <c r="I100" i="58" s="1"/>
  <c r="I99" i="58"/>
  <c r="H98" i="58"/>
  <c r="I98" i="58" s="1"/>
  <c r="H97" i="58"/>
  <c r="H96" i="58"/>
  <c r="H95" i="58"/>
  <c r="H94" i="58"/>
  <c r="I94" i="58" s="1"/>
  <c r="H93" i="58"/>
  <c r="I93" i="58" s="1"/>
  <c r="I92" i="58"/>
  <c r="G91" i="58"/>
  <c r="G84" i="58" s="1"/>
  <c r="F91" i="58"/>
  <c r="E91" i="58"/>
  <c r="H90" i="58"/>
  <c r="I90" i="58" s="1"/>
  <c r="I89" i="58"/>
  <c r="H89" i="58"/>
  <c r="H88" i="58"/>
  <c r="I88" i="58" s="1"/>
  <c r="I87" i="58"/>
  <c r="H87" i="58"/>
  <c r="H86" i="58"/>
  <c r="I86" i="58" s="1"/>
  <c r="G85" i="58"/>
  <c r="F85" i="58"/>
  <c r="H85" i="58" s="1"/>
  <c r="I85" i="58" s="1"/>
  <c r="E85" i="58"/>
  <c r="E84" i="58" s="1"/>
  <c r="F84" i="58"/>
  <c r="H83" i="58"/>
  <c r="H82" i="58"/>
  <c r="I82" i="58" s="1"/>
  <c r="G81" i="58"/>
  <c r="F81" i="58"/>
  <c r="F80" i="58" s="1"/>
  <c r="H80" i="58" s="1"/>
  <c r="E81" i="58"/>
  <c r="E80" i="58" s="1"/>
  <c r="E61" i="58" s="1"/>
  <c r="G80" i="58"/>
  <c r="H79" i="58"/>
  <c r="I78" i="58"/>
  <c r="H78" i="58"/>
  <c r="G77" i="58"/>
  <c r="G76" i="58" s="1"/>
  <c r="F77" i="58"/>
  <c r="F76" i="58" s="1"/>
  <c r="H76" i="58" s="1"/>
  <c r="I76" i="58" s="1"/>
  <c r="E77" i="58"/>
  <c r="E76" i="58"/>
  <c r="I75" i="58"/>
  <c r="H75" i="58"/>
  <c r="F74" i="58"/>
  <c r="H74" i="58" s="1"/>
  <c r="I74" i="58" s="1"/>
  <c r="E74" i="58"/>
  <c r="H73" i="58"/>
  <c r="F72" i="58"/>
  <c r="H72" i="58" s="1"/>
  <c r="E72" i="58"/>
  <c r="F71" i="58"/>
  <c r="H71" i="58" s="1"/>
  <c r="I71" i="58" s="1"/>
  <c r="E71" i="58"/>
  <c r="H70" i="58"/>
  <c r="F69" i="58"/>
  <c r="F62" i="58" s="1"/>
  <c r="E69" i="58"/>
  <c r="H68" i="58"/>
  <c r="I68" i="58" s="1"/>
  <c r="I67" i="58"/>
  <c r="H67" i="58"/>
  <c r="H66" i="58"/>
  <c r="I66" i="58" s="1"/>
  <c r="I65" i="58"/>
  <c r="H65" i="58"/>
  <c r="H64" i="58"/>
  <c r="I64" i="58" s="1"/>
  <c r="I63" i="58"/>
  <c r="H63" i="58"/>
  <c r="F63" i="58"/>
  <c r="E63" i="58"/>
  <c r="E62" i="58"/>
  <c r="I60" i="58"/>
  <c r="H60" i="58"/>
  <c r="H59" i="58"/>
  <c r="I59" i="58" s="1"/>
  <c r="F59" i="58"/>
  <c r="E59" i="58"/>
  <c r="H58" i="58"/>
  <c r="I58" i="58" s="1"/>
  <c r="I57" i="58"/>
  <c r="H57" i="58"/>
  <c r="H56" i="58"/>
  <c r="I56" i="58" s="1"/>
  <c r="F55" i="58"/>
  <c r="F54" i="58" s="1"/>
  <c r="E55" i="58"/>
  <c r="E54" i="58"/>
  <c r="E53" i="58" s="1"/>
  <c r="H52" i="58"/>
  <c r="H51" i="58"/>
  <c r="I51" i="58" s="1"/>
  <c r="G50" i="58"/>
  <c r="F50" i="58"/>
  <c r="H50" i="58" s="1"/>
  <c r="I50" i="58" s="1"/>
  <c r="E50" i="58"/>
  <c r="E49" i="58" s="1"/>
  <c r="E48" i="58" s="1"/>
  <c r="G49" i="58"/>
  <c r="F49" i="58"/>
  <c r="F48" i="58" s="1"/>
  <c r="H48" i="58" s="1"/>
  <c r="I48" i="58" s="1"/>
  <c r="G48" i="58"/>
  <c r="H47" i="58"/>
  <c r="I46" i="58"/>
  <c r="H46" i="58"/>
  <c r="H45" i="58"/>
  <c r="I45" i="58" s="1"/>
  <c r="I44" i="58"/>
  <c r="H44" i="58"/>
  <c r="F44" i="58"/>
  <c r="E44" i="58"/>
  <c r="E43" i="58" s="1"/>
  <c r="H43" i="58"/>
  <c r="F43" i="58"/>
  <c r="H42" i="58"/>
  <c r="F42" i="58"/>
  <c r="H41" i="58"/>
  <c r="I40" i="58"/>
  <c r="H40" i="58"/>
  <c r="H39" i="58"/>
  <c r="I39" i="58" s="1"/>
  <c r="G38" i="58"/>
  <c r="F38" i="58"/>
  <c r="F37" i="58" s="1"/>
  <c r="H37" i="58" s="1"/>
  <c r="I37" i="58" s="1"/>
  <c r="E38" i="58"/>
  <c r="E37" i="58" s="1"/>
  <c r="E10" i="58" s="1"/>
  <c r="G37" i="58"/>
  <c r="G10" i="58" s="1"/>
  <c r="H36" i="58"/>
  <c r="I35" i="58"/>
  <c r="H35" i="58"/>
  <c r="F34" i="58"/>
  <c r="H34" i="58" s="1"/>
  <c r="I34" i="58" s="1"/>
  <c r="E34" i="58"/>
  <c r="F33" i="58"/>
  <c r="H33" i="58" s="1"/>
  <c r="I33" i="58" s="1"/>
  <c r="E33" i="58"/>
  <c r="H32" i="58"/>
  <c r="H31" i="58"/>
  <c r="I31" i="58" s="1"/>
  <c r="F30" i="58"/>
  <c r="H30" i="58" s="1"/>
  <c r="I30" i="58" s="1"/>
  <c r="E30" i="58"/>
  <c r="F29" i="58"/>
  <c r="H29" i="58" s="1"/>
  <c r="I29" i="58" s="1"/>
  <c r="E29" i="58"/>
  <c r="H28" i="58"/>
  <c r="H27" i="58"/>
  <c r="I27" i="58" s="1"/>
  <c r="I26" i="58"/>
  <c r="H26" i="58"/>
  <c r="F25" i="58"/>
  <c r="H25" i="58" s="1"/>
  <c r="I25" i="58" s="1"/>
  <c r="E25" i="58"/>
  <c r="F24" i="58"/>
  <c r="H24" i="58" s="1"/>
  <c r="I24" i="58" s="1"/>
  <c r="E24" i="58"/>
  <c r="H23" i="58"/>
  <c r="H22" i="58"/>
  <c r="H21" i="58"/>
  <c r="F21" i="58"/>
  <c r="E21" i="58"/>
  <c r="E475" i="58" s="1"/>
  <c r="H20" i="58"/>
  <c r="H19" i="58"/>
  <c r="H473" i="58" s="1"/>
  <c r="I473" i="58" s="1"/>
  <c r="I18" i="58"/>
  <c r="H18" i="58"/>
  <c r="H17" i="58"/>
  <c r="I17" i="58" s="1"/>
  <c r="F17" i="58"/>
  <c r="E17" i="58"/>
  <c r="H16" i="58"/>
  <c r="I16" i="58" s="1"/>
  <c r="F16" i="58"/>
  <c r="E16" i="58"/>
  <c r="H15" i="58"/>
  <c r="I14" i="58"/>
  <c r="H14" i="58"/>
  <c r="H13" i="58"/>
  <c r="I13" i="58" s="1"/>
  <c r="I12" i="58"/>
  <c r="H12" i="58"/>
  <c r="F12" i="58"/>
  <c r="E12" i="58"/>
  <c r="I11" i="58"/>
  <c r="H11" i="58"/>
  <c r="F11" i="58"/>
  <c r="E11" i="58"/>
  <c r="E55" i="67" l="1"/>
  <c r="F87" i="67"/>
  <c r="E61" i="67"/>
  <c r="E87" i="67" s="1"/>
  <c r="G382" i="59"/>
  <c r="F348" i="59"/>
  <c r="F347" i="59" s="1"/>
  <c r="E1338" i="59"/>
  <c r="G303" i="59"/>
  <c r="G995" i="59"/>
  <c r="G1797" i="59"/>
  <c r="F1982" i="59"/>
  <c r="G1982" i="59" s="1"/>
  <c r="G1356" i="59"/>
  <c r="E1657" i="59"/>
  <c r="F843" i="59"/>
  <c r="G843" i="59" s="1"/>
  <c r="G178" i="59"/>
  <c r="G370" i="59"/>
  <c r="F381" i="59"/>
  <c r="E481" i="59"/>
  <c r="G976" i="59"/>
  <c r="F994" i="59"/>
  <c r="F993" i="59" s="1"/>
  <c r="F992" i="59" s="1"/>
  <c r="G1385" i="59"/>
  <c r="E1859" i="59"/>
  <c r="G1922" i="59"/>
  <c r="F1360" i="59"/>
  <c r="G374" i="59"/>
  <c r="E368" i="59"/>
  <c r="E1914" i="59"/>
  <c r="F1921" i="59"/>
  <c r="G1921" i="59" s="1"/>
  <c r="F1784" i="59"/>
  <c r="F1783" i="59" s="1"/>
  <c r="F1782" i="59" s="1"/>
  <c r="G479" i="59"/>
  <c r="F373" i="59"/>
  <c r="G373" i="59" s="1"/>
  <c r="G13" i="59"/>
  <c r="G261" i="59"/>
  <c r="F260" i="59"/>
  <c r="F386" i="59"/>
  <c r="G387" i="59"/>
  <c r="F477" i="59"/>
  <c r="G477" i="59" s="1"/>
  <c r="G478" i="59"/>
  <c r="G558" i="59"/>
  <c r="F557" i="59"/>
  <c r="F1383" i="59"/>
  <c r="G1384" i="59"/>
  <c r="F103" i="59"/>
  <c r="G255" i="59"/>
  <c r="F248" i="59"/>
  <c r="G301" i="59"/>
  <c r="G405" i="59"/>
  <c r="F404" i="59"/>
  <c r="E586" i="59"/>
  <c r="E636" i="59"/>
  <c r="E635" i="59" s="1"/>
  <c r="E634" i="59" s="1"/>
  <c r="E967" i="59"/>
  <c r="G968" i="59"/>
  <c r="E970" i="59"/>
  <c r="G1398" i="59"/>
  <c r="F1397" i="59"/>
  <c r="F1400" i="59"/>
  <c r="G1400" i="59" s="1"/>
  <c r="G1401" i="59"/>
  <c r="G1531" i="59"/>
  <c r="F1530" i="59"/>
  <c r="G1765" i="59"/>
  <c r="F12" i="59"/>
  <c r="E49" i="59"/>
  <c r="E48" i="59" s="1"/>
  <c r="G76" i="59"/>
  <c r="F75" i="59"/>
  <c r="E2067" i="59"/>
  <c r="E104" i="59"/>
  <c r="E103" i="59" s="1"/>
  <c r="E138" i="59"/>
  <c r="G139" i="59"/>
  <c r="F177" i="59"/>
  <c r="G177" i="59" s="1"/>
  <c r="G229" i="59"/>
  <c r="E248" i="59"/>
  <c r="E247" i="59" s="1"/>
  <c r="E246" i="59" s="1"/>
  <c r="E245" i="59" s="1"/>
  <c r="G249" i="59"/>
  <c r="G270" i="59"/>
  <c r="G283" i="59"/>
  <c r="F282" i="59"/>
  <c r="G286" i="59"/>
  <c r="G302" i="59"/>
  <c r="F312" i="59"/>
  <c r="G327" i="59"/>
  <c r="G369" i="59"/>
  <c r="F368" i="59"/>
  <c r="G399" i="59"/>
  <c r="G440" i="59"/>
  <c r="F432" i="59"/>
  <c r="F456" i="59"/>
  <c r="G457" i="59"/>
  <c r="G470" i="59"/>
  <c r="G474" i="59"/>
  <c r="F473" i="59"/>
  <c r="G473" i="59" s="1"/>
  <c r="E556" i="59"/>
  <c r="E555" i="59" s="1"/>
  <c r="G628" i="59"/>
  <c r="F627" i="59"/>
  <c r="G627" i="59" s="1"/>
  <c r="G636" i="59"/>
  <c r="F635" i="59"/>
  <c r="F675" i="59"/>
  <c r="G675" i="59" s="1"/>
  <c r="F701" i="59"/>
  <c r="G701" i="59" s="1"/>
  <c r="F890" i="59"/>
  <c r="G890" i="59" s="1"/>
  <c r="E1051" i="59"/>
  <c r="E1050" i="59" s="1"/>
  <c r="E1049" i="59" s="1"/>
  <c r="G1049" i="59" s="1"/>
  <c r="G1052" i="59"/>
  <c r="F1456" i="59"/>
  <c r="G1456" i="59" s="1"/>
  <c r="G1457" i="59"/>
  <c r="G51" i="59"/>
  <c r="F50" i="59"/>
  <c r="G428" i="59"/>
  <c r="F427" i="59"/>
  <c r="G427" i="59" s="1"/>
  <c r="F484" i="59"/>
  <c r="G485" i="59"/>
  <c r="G519" i="59"/>
  <c r="F518" i="59"/>
  <c r="G989" i="59"/>
  <c r="E988" i="59"/>
  <c r="E987" i="59" s="1"/>
  <c r="F1242" i="59"/>
  <c r="G1243" i="59"/>
  <c r="E45" i="59"/>
  <c r="G46" i="59"/>
  <c r="E2072" i="59"/>
  <c r="G101" i="59"/>
  <c r="G179" i="59"/>
  <c r="G211" i="59"/>
  <c r="F210" i="59"/>
  <c r="E401" i="59"/>
  <c r="E455" i="59"/>
  <c r="E454" i="59" s="1"/>
  <c r="G644" i="59"/>
  <c r="F136" i="59"/>
  <c r="G158" i="59"/>
  <c r="F157" i="59"/>
  <c r="E209" i="59"/>
  <c r="E208" i="59" s="1"/>
  <c r="E430" i="59"/>
  <c r="E572" i="59"/>
  <c r="E571" i="59" s="1"/>
  <c r="G571" i="59" s="1"/>
  <c r="G576" i="59"/>
  <c r="G588" i="59"/>
  <c r="F587" i="59"/>
  <c r="G650" i="59"/>
  <c r="F649" i="59"/>
  <c r="F667" i="59"/>
  <c r="G668" i="59"/>
  <c r="E865" i="59"/>
  <c r="F1574" i="59"/>
  <c r="G1574" i="59" s="1"/>
  <c r="G1575" i="59"/>
  <c r="E1574" i="59"/>
  <c r="G716" i="59"/>
  <c r="E833" i="59"/>
  <c r="E832" i="59" s="1"/>
  <c r="E831" i="59" s="1"/>
  <c r="G848" i="59"/>
  <c r="F847" i="59"/>
  <c r="G873" i="59"/>
  <c r="F872" i="59"/>
  <c r="G872" i="59" s="1"/>
  <c r="G975" i="59"/>
  <c r="G1004" i="59"/>
  <c r="F1003" i="59"/>
  <c r="G1792" i="59"/>
  <c r="F1791" i="59"/>
  <c r="G1811" i="59"/>
  <c r="E1810" i="59"/>
  <c r="E1970" i="59"/>
  <c r="G1970" i="59" s="1"/>
  <c r="G1971" i="59"/>
  <c r="F1986" i="59"/>
  <c r="G1987" i="59"/>
  <c r="E2064" i="59"/>
  <c r="F2066" i="59"/>
  <c r="G2066" i="59" s="1"/>
  <c r="G217" i="59"/>
  <c r="G452" i="59"/>
  <c r="F451" i="59"/>
  <c r="G451" i="59" s="1"/>
  <c r="G520" i="59"/>
  <c r="G637" i="59"/>
  <c r="G726" i="59"/>
  <c r="G743" i="59"/>
  <c r="G751" i="59"/>
  <c r="G776" i="59"/>
  <c r="F774" i="59"/>
  <c r="G774" i="59" s="1"/>
  <c r="G849" i="59"/>
  <c r="G896" i="59"/>
  <c r="F954" i="59"/>
  <c r="G955" i="59"/>
  <c r="G963" i="59"/>
  <c r="F958" i="59"/>
  <c r="G958" i="59" s="1"/>
  <c r="F971" i="59"/>
  <c r="G972" i="59"/>
  <c r="G999" i="59"/>
  <c r="E998" i="59"/>
  <c r="E992" i="59" s="1"/>
  <c r="E991" i="59" s="1"/>
  <c r="G1050" i="59"/>
  <c r="G1063" i="59"/>
  <c r="E1056" i="59"/>
  <c r="E1055" i="59" s="1"/>
  <c r="E1054" i="59" s="1"/>
  <c r="G1122" i="59"/>
  <c r="F1121" i="59"/>
  <c r="G1121" i="59" s="1"/>
  <c r="F1258" i="59"/>
  <c r="G1306" i="59"/>
  <c r="E1315" i="59"/>
  <c r="G1315" i="59" s="1"/>
  <c r="G1316" i="59"/>
  <c r="F1322" i="59"/>
  <c r="G1323" i="59"/>
  <c r="G1330" i="59"/>
  <c r="G1372" i="59"/>
  <c r="F1371" i="59"/>
  <c r="G1375" i="59"/>
  <c r="E1395" i="59"/>
  <c r="G1402" i="59"/>
  <c r="G1458" i="59"/>
  <c r="G1653" i="59"/>
  <c r="G1667" i="59"/>
  <c r="G1778" i="59"/>
  <c r="F1777" i="59"/>
  <c r="G1777" i="59" s="1"/>
  <c r="G1807" i="59"/>
  <c r="F1801" i="59"/>
  <c r="G1925" i="59"/>
  <c r="F1924" i="59"/>
  <c r="G1924" i="59" s="1"/>
  <c r="F771" i="59"/>
  <c r="F2063" i="59" s="1"/>
  <c r="G772" i="59"/>
  <c r="G826" i="59"/>
  <c r="G837" i="59"/>
  <c r="G901" i="59"/>
  <c r="G980" i="59"/>
  <c r="F979" i="59"/>
  <c r="G1055" i="59"/>
  <c r="F1054" i="59"/>
  <c r="G1054" i="59" s="1"/>
  <c r="G1069" i="59"/>
  <c r="F1125" i="59"/>
  <c r="G1250" i="59"/>
  <c r="E1335" i="59"/>
  <c r="G1336" i="59"/>
  <c r="G1590" i="59"/>
  <c r="G1712" i="59"/>
  <c r="F1711" i="59"/>
  <c r="E1799" i="59"/>
  <c r="F1815" i="59"/>
  <c r="G1821" i="59"/>
  <c r="G1826" i="59"/>
  <c r="F1825" i="59"/>
  <c r="E2063" i="59"/>
  <c r="E14" i="59"/>
  <c r="E13" i="59" s="1"/>
  <c r="E12" i="59" s="1"/>
  <c r="G97" i="59"/>
  <c r="F96" i="59"/>
  <c r="G96" i="59" s="1"/>
  <c r="G71" i="59"/>
  <c r="G105" i="59"/>
  <c r="F2065" i="59"/>
  <c r="G2065" i="59" s="1"/>
  <c r="F153" i="59"/>
  <c r="F307" i="59"/>
  <c r="E348" i="59"/>
  <c r="G378" i="59"/>
  <c r="F377" i="59"/>
  <c r="G593" i="59"/>
  <c r="F592" i="59"/>
  <c r="G653" i="59"/>
  <c r="E701" i="59"/>
  <c r="E666" i="59" s="1"/>
  <c r="E665" i="59" s="1"/>
  <c r="E774" i="59"/>
  <c r="E770" i="59" s="1"/>
  <c r="E769" i="59" s="1"/>
  <c r="E768" i="59" s="1"/>
  <c r="G775" i="59"/>
  <c r="E847" i="59"/>
  <c r="E846" i="59" s="1"/>
  <c r="G932" i="59"/>
  <c r="E931" i="59"/>
  <c r="G931" i="59" s="1"/>
  <c r="G964" i="59"/>
  <c r="E984" i="59"/>
  <c r="G985" i="59"/>
  <c r="G988" i="59"/>
  <c r="F987" i="59"/>
  <c r="G987" i="59" s="1"/>
  <c r="G994" i="59"/>
  <c r="F1008" i="59"/>
  <c r="G1009" i="59"/>
  <c r="G1034" i="59"/>
  <c r="F1033" i="59"/>
  <c r="E1127" i="59"/>
  <c r="G1128" i="59"/>
  <c r="E1192" i="59"/>
  <c r="E1191" i="59" s="1"/>
  <c r="E1190" i="59" s="1"/>
  <c r="G1200" i="59"/>
  <c r="G1228" i="59"/>
  <c r="G1259" i="59"/>
  <c r="G1266" i="59"/>
  <c r="E1259" i="59"/>
  <c r="E1258" i="59" s="1"/>
  <c r="E1257" i="59" s="1"/>
  <c r="F1294" i="59"/>
  <c r="G1295" i="59"/>
  <c r="F1305" i="59"/>
  <c r="G1348" i="59"/>
  <c r="F1347" i="59"/>
  <c r="G1407" i="59"/>
  <c r="F1406" i="59"/>
  <c r="G1542" i="59"/>
  <c r="F1541" i="59"/>
  <c r="G1881" i="59"/>
  <c r="F1880" i="59"/>
  <c r="F2036" i="59"/>
  <c r="G2046" i="59"/>
  <c r="G760" i="59"/>
  <c r="F759" i="59"/>
  <c r="G819" i="59"/>
  <c r="F818" i="59"/>
  <c r="G818" i="59" s="1"/>
  <c r="G834" i="59"/>
  <c r="F833" i="59"/>
  <c r="G895" i="59"/>
  <c r="G915" i="59"/>
  <c r="G1339" i="59"/>
  <c r="G1344" i="59"/>
  <c r="F1343" i="59"/>
  <c r="G1437" i="59"/>
  <c r="F1536" i="59"/>
  <c r="G1536" i="59" s="1"/>
  <c r="G1537" i="59"/>
  <c r="E1615" i="59"/>
  <c r="E1614" i="59" s="1"/>
  <c r="G1618" i="59"/>
  <c r="F1761" i="59"/>
  <c r="G1761" i="59" s="1"/>
  <c r="G1762" i="59"/>
  <c r="G1906" i="59"/>
  <c r="G868" i="59"/>
  <c r="G1051" i="59"/>
  <c r="F1072" i="59"/>
  <c r="E1181" i="59"/>
  <c r="G1181" i="59" s="1"/>
  <c r="G1182" i="59"/>
  <c r="G1288" i="59"/>
  <c r="F1287" i="59"/>
  <c r="G1287" i="59" s="1"/>
  <c r="G1352" i="59"/>
  <c r="F1351" i="59"/>
  <c r="G1374" i="59"/>
  <c r="G1389" i="59"/>
  <c r="F1388" i="59"/>
  <c r="G1462" i="59"/>
  <c r="F1461" i="59"/>
  <c r="E1529" i="59"/>
  <c r="E1540" i="59"/>
  <c r="F1614" i="59"/>
  <c r="G1615" i="59"/>
  <c r="E1624" i="59"/>
  <c r="G1705" i="59"/>
  <c r="F1704" i="59"/>
  <c r="G1704" i="59" s="1"/>
  <c r="F1846" i="59"/>
  <c r="G1847" i="59"/>
  <c r="F1911" i="59"/>
  <c r="G1911" i="59" s="1"/>
  <c r="G1912" i="59"/>
  <c r="G1621" i="59"/>
  <c r="G1627" i="59"/>
  <c r="F1626" i="59"/>
  <c r="G1679" i="59"/>
  <c r="F1678" i="59"/>
  <c r="G1678" i="59" s="1"/>
  <c r="F1731" i="59"/>
  <c r="G1836" i="59"/>
  <c r="F1835" i="59"/>
  <c r="G2012" i="59"/>
  <c r="G2033" i="59"/>
  <c r="F2072" i="59"/>
  <c r="G2072" i="59" s="1"/>
  <c r="E2065" i="59"/>
  <c r="G2073" i="59"/>
  <c r="G1047" i="59"/>
  <c r="G1103" i="59"/>
  <c r="G1193" i="59"/>
  <c r="F1192" i="59"/>
  <c r="G1469" i="59"/>
  <c r="G1577" i="59"/>
  <c r="G1593" i="59"/>
  <c r="G1654" i="59"/>
  <c r="G1706" i="59"/>
  <c r="G1716" i="59"/>
  <c r="G1779" i="59"/>
  <c r="G1793" i="59"/>
  <c r="G1796" i="59"/>
  <c r="G1852" i="59"/>
  <c r="F1851" i="59"/>
  <c r="G1861" i="59"/>
  <c r="F1860" i="59"/>
  <c r="G1869" i="59"/>
  <c r="G1874" i="59"/>
  <c r="G1892" i="59"/>
  <c r="F1891" i="59"/>
  <c r="E1905" i="59"/>
  <c r="G1907" i="59"/>
  <c r="G1926" i="59"/>
  <c r="G1942" i="59"/>
  <c r="F2020" i="59"/>
  <c r="E2037" i="59"/>
  <c r="G2038" i="59"/>
  <c r="G1661" i="59"/>
  <c r="F1660" i="59"/>
  <c r="G1740" i="59"/>
  <c r="E1733" i="59"/>
  <c r="E1783" i="59"/>
  <c r="E1782" i="59" s="1"/>
  <c r="E1781" i="59" s="1"/>
  <c r="G1810" i="59"/>
  <c r="E1873" i="59"/>
  <c r="G1903" i="59"/>
  <c r="F1902" i="59"/>
  <c r="G1902" i="59" s="1"/>
  <c r="G1916" i="59"/>
  <c r="F1915" i="59"/>
  <c r="F2032" i="59"/>
  <c r="F2054" i="59"/>
  <c r="G2054" i="59" s="1"/>
  <c r="E1716" i="59"/>
  <c r="E1715" i="59" s="1"/>
  <c r="G1715" i="59" s="1"/>
  <c r="G1848" i="59"/>
  <c r="E1847" i="59"/>
  <c r="E1846" i="59" s="1"/>
  <c r="E1834" i="59" s="1"/>
  <c r="G1866" i="59"/>
  <c r="F1865" i="59"/>
  <c r="G1865" i="59" s="1"/>
  <c r="G1898" i="59"/>
  <c r="F1897" i="59"/>
  <c r="E1936" i="59"/>
  <c r="E1935" i="59" s="1"/>
  <c r="G1946" i="59"/>
  <c r="I260" i="58"/>
  <c r="H91" i="58"/>
  <c r="I91" i="58"/>
  <c r="H84" i="58"/>
  <c r="I84" i="58" s="1"/>
  <c r="E42" i="58"/>
  <c r="I42" i="58" s="1"/>
  <c r="I43" i="58"/>
  <c r="I166" i="58"/>
  <c r="H62" i="58"/>
  <c r="I62" i="58" s="1"/>
  <c r="F61" i="58"/>
  <c r="I80" i="58"/>
  <c r="I153" i="58"/>
  <c r="F53" i="58"/>
  <c r="H53" i="58" s="1"/>
  <c r="I53" i="58" s="1"/>
  <c r="H54" i="58"/>
  <c r="I54" i="58" s="1"/>
  <c r="I101" i="58"/>
  <c r="I167" i="58"/>
  <c r="G61" i="58"/>
  <c r="I116" i="58"/>
  <c r="I149" i="58"/>
  <c r="G233" i="58"/>
  <c r="F126" i="58"/>
  <c r="I308" i="58"/>
  <c r="E472" i="58"/>
  <c r="E479" i="58" s="1"/>
  <c r="G472" i="58"/>
  <c r="H69" i="58"/>
  <c r="G475" i="58"/>
  <c r="H117" i="58"/>
  <c r="I117" i="58" s="1"/>
  <c r="F148" i="58"/>
  <c r="H148" i="58" s="1"/>
  <c r="I148" i="58" s="1"/>
  <c r="H154" i="58"/>
  <c r="I154" i="58" s="1"/>
  <c r="I255" i="58"/>
  <c r="E339" i="58"/>
  <c r="H410" i="58"/>
  <c r="I410" i="58" s="1"/>
  <c r="F409" i="58"/>
  <c r="F472" i="58"/>
  <c r="F479" i="58" s="1"/>
  <c r="H38" i="58"/>
  <c r="I38" i="58" s="1"/>
  <c r="H49" i="58"/>
  <c r="I49" i="58" s="1"/>
  <c r="H55" i="58"/>
  <c r="I55" i="58" s="1"/>
  <c r="H81" i="58"/>
  <c r="I81" i="58" s="1"/>
  <c r="H113" i="58"/>
  <c r="I113" i="58" s="1"/>
  <c r="H136" i="58"/>
  <c r="I136" i="58" s="1"/>
  <c r="F144" i="58"/>
  <c r="H144" i="58" s="1"/>
  <c r="E474" i="58"/>
  <c r="I474" i="58" s="1"/>
  <c r="I171" i="58"/>
  <c r="H213" i="58"/>
  <c r="I213" i="58" s="1"/>
  <c r="I221" i="58"/>
  <c r="H332" i="58"/>
  <c r="I332" i="58" s="1"/>
  <c r="F331" i="58"/>
  <c r="H350" i="58"/>
  <c r="I350" i="58" s="1"/>
  <c r="F339" i="58"/>
  <c r="H339" i="58" s="1"/>
  <c r="H377" i="58"/>
  <c r="I377" i="58" s="1"/>
  <c r="F376" i="58"/>
  <c r="H376" i="58" s="1"/>
  <c r="I376" i="58" s="1"/>
  <c r="F398" i="58"/>
  <c r="H398" i="58" s="1"/>
  <c r="I398" i="58" s="1"/>
  <c r="I418" i="58"/>
  <c r="F421" i="58"/>
  <c r="H421" i="58" s="1"/>
  <c r="I421" i="58" s="1"/>
  <c r="I442" i="58"/>
  <c r="I444" i="58"/>
  <c r="E277" i="58"/>
  <c r="G326" i="58"/>
  <c r="G321" i="58" s="1"/>
  <c r="H328" i="58"/>
  <c r="I328" i="58" s="1"/>
  <c r="F10" i="58"/>
  <c r="H77" i="58"/>
  <c r="I77" i="58" s="1"/>
  <c r="F182" i="58"/>
  <c r="H182" i="58" s="1"/>
  <c r="I182" i="58" s="1"/>
  <c r="I191" i="58"/>
  <c r="F233" i="58"/>
  <c r="G242" i="58"/>
  <c r="H242" i="58" s="1"/>
  <c r="I242" i="58" s="1"/>
  <c r="H243" i="58"/>
  <c r="I243" i="58" s="1"/>
  <c r="E250" i="58"/>
  <c r="E233" i="58" s="1"/>
  <c r="I251" i="58"/>
  <c r="H395" i="58"/>
  <c r="I395" i="58" s="1"/>
  <c r="F394" i="58"/>
  <c r="E433" i="58"/>
  <c r="F475" i="58"/>
  <c r="F108" i="58"/>
  <c r="F160" i="58"/>
  <c r="H160" i="58" s="1"/>
  <c r="H162" i="58"/>
  <c r="I162" i="58" s="1"/>
  <c r="E167" i="58"/>
  <c r="E166" i="58" s="1"/>
  <c r="E160" i="58" s="1"/>
  <c r="E470" i="58" s="1"/>
  <c r="G200" i="58"/>
  <c r="G160" i="58" s="1"/>
  <c r="H201" i="58"/>
  <c r="I201" i="58" s="1"/>
  <c r="E216" i="58"/>
  <c r="E215" i="58" s="1"/>
  <c r="H238" i="58"/>
  <c r="I238" i="58" s="1"/>
  <c r="I254" i="58"/>
  <c r="F291" i="58"/>
  <c r="H291" i="58" s="1"/>
  <c r="I291" i="58" s="1"/>
  <c r="H292" i="58"/>
  <c r="I292" i="58" s="1"/>
  <c r="I317" i="58"/>
  <c r="F363" i="58"/>
  <c r="F388" i="58"/>
  <c r="H388" i="58" s="1"/>
  <c r="I388" i="58" s="1"/>
  <c r="I417" i="58"/>
  <c r="I439" i="58"/>
  <c r="H447" i="58"/>
  <c r="I447" i="58" s="1"/>
  <c r="F446" i="58"/>
  <c r="H446" i="58" s="1"/>
  <c r="I446" i="58" s="1"/>
  <c r="I466" i="58"/>
  <c r="F267" i="58"/>
  <c r="H267" i="58" s="1"/>
  <c r="I267" i="58" s="1"/>
  <c r="H268" i="58"/>
  <c r="I268" i="58" s="1"/>
  <c r="I279" i="58"/>
  <c r="I359" i="58"/>
  <c r="E387" i="58"/>
  <c r="I451" i="58"/>
  <c r="F278" i="58"/>
  <c r="G49" i="54"/>
  <c r="H49" i="54"/>
  <c r="E48" i="54"/>
  <c r="E49" i="54"/>
  <c r="E28" i="54"/>
  <c r="E14" i="54"/>
  <c r="E13" i="54"/>
  <c r="F24" i="55"/>
  <c r="E8" i="55"/>
  <c r="E18" i="41"/>
  <c r="G18" i="41"/>
  <c r="F35" i="37"/>
  <c r="F32" i="37"/>
  <c r="F26" i="37"/>
  <c r="G368" i="59" l="1"/>
  <c r="F380" i="59"/>
  <c r="G380" i="59" s="1"/>
  <c r="G381" i="59"/>
  <c r="F1359" i="59"/>
  <c r="G1360" i="59"/>
  <c r="G1784" i="59"/>
  <c r="E1849" i="59"/>
  <c r="G2063" i="59"/>
  <c r="F1338" i="59"/>
  <c r="G1338" i="59" s="1"/>
  <c r="G1343" i="59"/>
  <c r="E983" i="59"/>
  <c r="G984" i="59"/>
  <c r="F1814" i="59"/>
  <c r="G1815" i="59"/>
  <c r="F1800" i="59"/>
  <c r="G1801" i="59"/>
  <c r="G1003" i="59"/>
  <c r="F1002" i="59"/>
  <c r="F648" i="59"/>
  <c r="G649" i="59"/>
  <c r="G518" i="59"/>
  <c r="F517" i="59"/>
  <c r="G517" i="59" s="1"/>
  <c r="G1530" i="59"/>
  <c r="F1529" i="59"/>
  <c r="G967" i="59"/>
  <c r="E966" i="59"/>
  <c r="G386" i="59"/>
  <c r="F385" i="59"/>
  <c r="F1890" i="59"/>
  <c r="G1890" i="59" s="1"/>
  <c r="G1891" i="59"/>
  <c r="F2064" i="59"/>
  <c r="G2064" i="59" s="1"/>
  <c r="F1540" i="59"/>
  <c r="G1541" i="59"/>
  <c r="E347" i="59"/>
  <c r="G348" i="59"/>
  <c r="G1825" i="59"/>
  <c r="F1824" i="59"/>
  <c r="G971" i="59"/>
  <c r="F970" i="59"/>
  <c r="G970" i="59" s="1"/>
  <c r="G954" i="59"/>
  <c r="F209" i="59"/>
  <c r="G210" i="59"/>
  <c r="G1242" i="59"/>
  <c r="F1241" i="59"/>
  <c r="G1241" i="59" s="1"/>
  <c r="G456" i="59"/>
  <c r="G12" i="59"/>
  <c r="E633" i="59"/>
  <c r="G103" i="59"/>
  <c r="G1383" i="59"/>
  <c r="F1382" i="59"/>
  <c r="G1382" i="59" s="1"/>
  <c r="G1915" i="59"/>
  <c r="F1914" i="59"/>
  <c r="G1914" i="59" s="1"/>
  <c r="G2037" i="59"/>
  <c r="E2036" i="59"/>
  <c r="E2035" i="59" s="1"/>
  <c r="E2030" i="59" s="1"/>
  <c r="F1191" i="59"/>
  <c r="G1192" i="59"/>
  <c r="G1782" i="59"/>
  <c r="F1781" i="59"/>
  <c r="E1539" i="59"/>
  <c r="F1387" i="59"/>
  <c r="G1387" i="59" s="1"/>
  <c r="G1388" i="59"/>
  <c r="F832" i="59"/>
  <c r="G833" i="59"/>
  <c r="G759" i="59"/>
  <c r="F758" i="59"/>
  <c r="G1294" i="59"/>
  <c r="F1293" i="59"/>
  <c r="G1127" i="59"/>
  <c r="E1126" i="59"/>
  <c r="G1008" i="59"/>
  <c r="F1007" i="59"/>
  <c r="F306" i="59"/>
  <c r="G307" i="59"/>
  <c r="G1711" i="59"/>
  <c r="F1710" i="59"/>
  <c r="G1335" i="59"/>
  <c r="E1334" i="59"/>
  <c r="F978" i="59"/>
  <c r="G978" i="59" s="1"/>
  <c r="G979" i="59"/>
  <c r="G1371" i="59"/>
  <c r="F1370" i="59"/>
  <c r="G1370" i="59" s="1"/>
  <c r="G1322" i="59"/>
  <c r="F1321" i="59"/>
  <c r="G1258" i="59"/>
  <c r="F1257" i="59"/>
  <c r="G1257" i="59" s="1"/>
  <c r="G998" i="59"/>
  <c r="F846" i="59"/>
  <c r="G846" i="59" s="1"/>
  <c r="G847" i="59"/>
  <c r="G587" i="59"/>
  <c r="F586" i="59"/>
  <c r="G586" i="59" s="1"/>
  <c r="G572" i="59"/>
  <c r="F156" i="59"/>
  <c r="G156" i="59" s="1"/>
  <c r="G157" i="59"/>
  <c r="G432" i="59"/>
  <c r="F431" i="59"/>
  <c r="G75" i="59"/>
  <c r="F74" i="59"/>
  <c r="G104" i="59"/>
  <c r="G260" i="59"/>
  <c r="F259" i="59"/>
  <c r="E1934" i="59"/>
  <c r="G1934" i="59" s="1"/>
  <c r="G1935" i="59"/>
  <c r="E1769" i="59"/>
  <c r="F1460" i="59"/>
  <c r="G1460" i="59" s="1"/>
  <c r="G1461" i="59"/>
  <c r="G771" i="59"/>
  <c r="F770" i="59"/>
  <c r="G312" i="59"/>
  <c r="F311" i="59"/>
  <c r="F1396" i="59"/>
  <c r="G1397" i="59"/>
  <c r="F1896" i="59"/>
  <c r="G1896" i="59" s="1"/>
  <c r="G1897" i="59"/>
  <c r="G2032" i="59"/>
  <c r="F2031" i="59"/>
  <c r="G1733" i="59"/>
  <c r="E1732" i="59"/>
  <c r="G1936" i="59"/>
  <c r="G1860" i="59"/>
  <c r="F1859" i="59"/>
  <c r="G1859" i="59" s="1"/>
  <c r="G1835" i="59"/>
  <c r="F1834" i="59"/>
  <c r="G1834" i="59" s="1"/>
  <c r="G1846" i="59"/>
  <c r="G1614" i="59"/>
  <c r="F1350" i="59"/>
  <c r="G1350" i="59" s="1"/>
  <c r="G1351" i="59"/>
  <c r="F867" i="59"/>
  <c r="F2035" i="59"/>
  <c r="G2036" i="59"/>
  <c r="G1347" i="59"/>
  <c r="F1346" i="59"/>
  <c r="G1346" i="59" s="1"/>
  <c r="G592" i="59"/>
  <c r="F591" i="59"/>
  <c r="G591" i="59" s="1"/>
  <c r="F1790" i="59"/>
  <c r="G1790" i="59" s="1"/>
  <c r="G1791" i="59"/>
  <c r="F1659" i="59"/>
  <c r="G1660" i="59"/>
  <c r="G2020" i="59"/>
  <c r="F2019" i="59"/>
  <c r="F1850" i="59"/>
  <c r="G1851" i="59"/>
  <c r="G1626" i="59"/>
  <c r="F1625" i="59"/>
  <c r="G1783" i="59"/>
  <c r="E1528" i="59"/>
  <c r="G1072" i="59"/>
  <c r="F1071" i="59"/>
  <c r="G1071" i="59" s="1"/>
  <c r="F1905" i="59"/>
  <c r="G1905" i="59" s="1"/>
  <c r="G1880" i="59"/>
  <c r="F1873" i="59"/>
  <c r="G1873" i="59" s="1"/>
  <c r="G1406" i="59"/>
  <c r="F1405" i="59"/>
  <c r="G1033" i="59"/>
  <c r="F1032" i="59"/>
  <c r="G1032" i="59" s="1"/>
  <c r="G993" i="59"/>
  <c r="F376" i="59"/>
  <c r="G376" i="59" s="1"/>
  <c r="G377" i="59"/>
  <c r="G153" i="59"/>
  <c r="F152" i="59"/>
  <c r="G152" i="59" s="1"/>
  <c r="E2062" i="59"/>
  <c r="E2061" i="59" s="1"/>
  <c r="E1305" i="59"/>
  <c r="E1292" i="59" s="1"/>
  <c r="G1056" i="59"/>
  <c r="F2067" i="59"/>
  <c r="G2067" i="59" s="1"/>
  <c r="G1986" i="59"/>
  <c r="F1985" i="59"/>
  <c r="G667" i="59"/>
  <c r="F666" i="59"/>
  <c r="E2071" i="59"/>
  <c r="E2070" i="59" s="1"/>
  <c r="G45" i="59"/>
  <c r="F483" i="59"/>
  <c r="G484" i="59"/>
  <c r="G50" i="59"/>
  <c r="F49" i="59"/>
  <c r="F982" i="59"/>
  <c r="G635" i="59"/>
  <c r="F634" i="59"/>
  <c r="G282" i="59"/>
  <c r="F281" i="59"/>
  <c r="G138" i="59"/>
  <c r="E137" i="59"/>
  <c r="F1760" i="59"/>
  <c r="G404" i="59"/>
  <c r="F403" i="59"/>
  <c r="F402" i="59" s="1"/>
  <c r="G248" i="59"/>
  <c r="F247" i="59"/>
  <c r="G14" i="59"/>
  <c r="G557" i="59"/>
  <c r="F556" i="59"/>
  <c r="G470" i="58"/>
  <c r="I160" i="58"/>
  <c r="H394" i="58"/>
  <c r="I394" i="58" s="1"/>
  <c r="F387" i="58"/>
  <c r="H387" i="58" s="1"/>
  <c r="I387" i="58" s="1"/>
  <c r="F433" i="58"/>
  <c r="H433" i="58" s="1"/>
  <c r="I433" i="58" s="1"/>
  <c r="I250" i="58"/>
  <c r="H108" i="58"/>
  <c r="F107" i="58"/>
  <c r="H107" i="58" s="1"/>
  <c r="I107" i="58" s="1"/>
  <c r="I339" i="58"/>
  <c r="F404" i="58"/>
  <c r="H404" i="58" s="1"/>
  <c r="I404" i="58" s="1"/>
  <c r="H409" i="58"/>
  <c r="I409" i="58" s="1"/>
  <c r="H278" i="58"/>
  <c r="I278" i="58" s="1"/>
  <c r="F277" i="58"/>
  <c r="H277" i="58" s="1"/>
  <c r="I277" i="58" s="1"/>
  <c r="H331" i="58"/>
  <c r="I331" i="58" s="1"/>
  <c r="F321" i="58"/>
  <c r="H321" i="58" s="1"/>
  <c r="I321" i="58" s="1"/>
  <c r="H363" i="58"/>
  <c r="I363" i="58" s="1"/>
  <c r="F362" i="58"/>
  <c r="H362" i="58" s="1"/>
  <c r="I362" i="58" s="1"/>
  <c r="H326" i="58"/>
  <c r="I326" i="58" s="1"/>
  <c r="H475" i="58"/>
  <c r="I475" i="58" s="1"/>
  <c r="H233" i="58"/>
  <c r="I233" i="58" s="1"/>
  <c r="H10" i="58"/>
  <c r="G479" i="58"/>
  <c r="F125" i="58"/>
  <c r="H125" i="58" s="1"/>
  <c r="I125" i="58" s="1"/>
  <c r="H126" i="58"/>
  <c r="I126" i="58" s="1"/>
  <c r="H61" i="58"/>
  <c r="I61" i="58" s="1"/>
  <c r="H200" i="58"/>
  <c r="I200" i="58" s="1"/>
  <c r="E13" i="41"/>
  <c r="E12" i="41" s="1"/>
  <c r="G12" i="41"/>
  <c r="F12" i="41"/>
  <c r="G1359" i="59" l="1"/>
  <c r="F1358" i="59"/>
  <c r="G1358" i="59" s="1"/>
  <c r="F555" i="59"/>
  <c r="G555" i="59" s="1"/>
  <c r="G556" i="59"/>
  <c r="E136" i="59"/>
  <c r="G137" i="59"/>
  <c r="G634" i="59"/>
  <c r="E2075" i="59"/>
  <c r="G2019" i="59"/>
  <c r="F2018" i="59"/>
  <c r="G2018" i="59" s="1"/>
  <c r="F866" i="59"/>
  <c r="G867" i="59"/>
  <c r="F2030" i="59"/>
  <c r="G2030" i="59" s="1"/>
  <c r="G2031" i="59"/>
  <c r="F769" i="59"/>
  <c r="G770" i="59"/>
  <c r="G431" i="59"/>
  <c r="F430" i="59"/>
  <c r="G430" i="59" s="1"/>
  <c r="G1321" i="59"/>
  <c r="F1320" i="59"/>
  <c r="G1710" i="59"/>
  <c r="F1709" i="59"/>
  <c r="G306" i="59"/>
  <c r="F305" i="59"/>
  <c r="G305" i="59" s="1"/>
  <c r="G455" i="59"/>
  <c r="F454" i="59"/>
  <c r="G454" i="59" s="1"/>
  <c r="F1823" i="59"/>
  <c r="G1823" i="59" s="1"/>
  <c r="G1824" i="59"/>
  <c r="F1813" i="59"/>
  <c r="G1813" i="59" s="1"/>
  <c r="G1814" i="59"/>
  <c r="G403" i="59"/>
  <c r="F665" i="59"/>
  <c r="G665" i="59" s="1"/>
  <c r="G666" i="59"/>
  <c r="G2071" i="59"/>
  <c r="F2070" i="59"/>
  <c r="G2070" i="59" s="1"/>
  <c r="F1395" i="59"/>
  <c r="G1395" i="59" s="1"/>
  <c r="G1396" i="59"/>
  <c r="F1006" i="59"/>
  <c r="G1006" i="59" s="1"/>
  <c r="G1007" i="59"/>
  <c r="F1292" i="59"/>
  <c r="G1292" i="59" s="1"/>
  <c r="G1293" i="59"/>
  <c r="G1191" i="59"/>
  <c r="F1190" i="59"/>
  <c r="G1190" i="59" s="1"/>
  <c r="G209" i="59"/>
  <c r="F208" i="59"/>
  <c r="G208" i="59" s="1"/>
  <c r="G1540" i="59"/>
  <c r="F1539" i="59"/>
  <c r="G1539" i="59" s="1"/>
  <c r="F384" i="59"/>
  <c r="G384" i="59" s="1"/>
  <c r="G385" i="59"/>
  <c r="G1529" i="59"/>
  <c r="F280" i="59"/>
  <c r="G280" i="59" s="1"/>
  <c r="G281" i="59"/>
  <c r="G483" i="59"/>
  <c r="F482" i="59"/>
  <c r="F991" i="59"/>
  <c r="G991" i="59" s="1"/>
  <c r="G992" i="59"/>
  <c r="F1404" i="59"/>
  <c r="G1404" i="59" s="1"/>
  <c r="G1405" i="59"/>
  <c r="E1731" i="59"/>
  <c r="G1732" i="59"/>
  <c r="G311" i="59"/>
  <c r="F310" i="59"/>
  <c r="F73" i="59"/>
  <c r="G73" i="59" s="1"/>
  <c r="G74" i="59"/>
  <c r="E1319" i="59"/>
  <c r="G1334" i="59"/>
  <c r="F831" i="59"/>
  <c r="G831" i="59" s="1"/>
  <c r="G832" i="59"/>
  <c r="G1781" i="59"/>
  <c r="F647" i="59"/>
  <c r="G647" i="59" s="1"/>
  <c r="G648" i="59"/>
  <c r="G1800" i="59"/>
  <c r="F1799" i="59"/>
  <c r="G1799" i="59" s="1"/>
  <c r="E982" i="59"/>
  <c r="G982" i="59" s="1"/>
  <c r="G983" i="59"/>
  <c r="F246" i="59"/>
  <c r="G247" i="59"/>
  <c r="F1759" i="59"/>
  <c r="G1759" i="59" s="1"/>
  <c r="G1760" i="59"/>
  <c r="G49" i="59"/>
  <c r="F48" i="59"/>
  <c r="G1980" i="59"/>
  <c r="G1985" i="59"/>
  <c r="F1624" i="59"/>
  <c r="G1624" i="59" s="1"/>
  <c r="G1625" i="59"/>
  <c r="G1850" i="59"/>
  <c r="F1849" i="59"/>
  <c r="G1849" i="59" s="1"/>
  <c r="G1659" i="59"/>
  <c r="F1658" i="59"/>
  <c r="G2035" i="59"/>
  <c r="F258" i="59"/>
  <c r="G259" i="59"/>
  <c r="E1125" i="59"/>
  <c r="G1125" i="59" s="1"/>
  <c r="G1126" i="59"/>
  <c r="F757" i="59"/>
  <c r="G757" i="59" s="1"/>
  <c r="G758" i="59"/>
  <c r="F953" i="59"/>
  <c r="E310" i="59"/>
  <c r="E257" i="59" s="1"/>
  <c r="G347" i="59"/>
  <c r="G966" i="59"/>
  <c r="E953" i="59"/>
  <c r="F1001" i="59"/>
  <c r="G1001" i="59" s="1"/>
  <c r="G1002" i="59"/>
  <c r="G1305" i="59"/>
  <c r="F2062" i="59"/>
  <c r="H470" i="58"/>
  <c r="I470" i="58" s="1"/>
  <c r="I10" i="58"/>
  <c r="F470" i="58"/>
  <c r="H472" i="58"/>
  <c r="G7" i="41"/>
  <c r="E7" i="41"/>
  <c r="E11" i="41"/>
  <c r="E10" i="41"/>
  <c r="G8" i="41"/>
  <c r="E1708" i="59" l="1"/>
  <c r="G1731" i="59"/>
  <c r="F481" i="59"/>
  <c r="G481" i="59" s="1"/>
  <c r="G482" i="59"/>
  <c r="G246" i="59"/>
  <c r="F245" i="59"/>
  <c r="G245" i="59" s="1"/>
  <c r="F1769" i="59"/>
  <c r="G1769" i="59" s="1"/>
  <c r="F1528" i="59"/>
  <c r="G1528" i="59" s="1"/>
  <c r="F401" i="59"/>
  <c r="G401" i="59" s="1"/>
  <c r="G402" i="59"/>
  <c r="F1319" i="59"/>
  <c r="G1319" i="59" s="1"/>
  <c r="G1320" i="59"/>
  <c r="G136" i="59"/>
  <c r="E11" i="59"/>
  <c r="G1709" i="59"/>
  <c r="F1708" i="59"/>
  <c r="F2061" i="59"/>
  <c r="G2062" i="59"/>
  <c r="G953" i="59"/>
  <c r="F1657" i="59"/>
  <c r="G1657" i="59" s="1"/>
  <c r="G1658" i="59"/>
  <c r="G48" i="59"/>
  <c r="F11" i="59"/>
  <c r="G310" i="59"/>
  <c r="G258" i="59"/>
  <c r="F257" i="59"/>
  <c r="G257" i="59" s="1"/>
  <c r="G769" i="59"/>
  <c r="F768" i="59"/>
  <c r="G768" i="59" s="1"/>
  <c r="G866" i="59"/>
  <c r="F865" i="59"/>
  <c r="G865" i="59" s="1"/>
  <c r="H479" i="58"/>
  <c r="I479" i="58" s="1"/>
  <c r="I472" i="58"/>
  <c r="E19" i="54"/>
  <c r="E15" i="54"/>
  <c r="G2061" i="59" l="1"/>
  <c r="F2075" i="59"/>
  <c r="G1708" i="59"/>
  <c r="F633" i="59"/>
  <c r="G633" i="59" s="1"/>
  <c r="G11" i="59"/>
  <c r="E2058" i="59"/>
  <c r="F18" i="41"/>
  <c r="F2058" i="59" l="1"/>
  <c r="G2058" i="59" s="1"/>
  <c r="K30" i="54"/>
  <c r="G28" i="54"/>
  <c r="F16" i="37"/>
  <c r="E21" i="55" l="1"/>
  <c r="E17" i="41"/>
  <c r="E16" i="41" s="1"/>
  <c r="G16" i="41"/>
  <c r="F16" i="41"/>
  <c r="G14" i="41"/>
  <c r="F14" i="41"/>
  <c r="E15" i="41"/>
  <c r="E14" i="41" s="1"/>
  <c r="E9" i="55"/>
  <c r="H29" i="54"/>
  <c r="H51" i="54" s="1"/>
  <c r="F29" i="37" l="1"/>
  <c r="F24" i="37"/>
  <c r="F18" i="37"/>
  <c r="F15" i="37"/>
  <c r="F34" i="37"/>
  <c r="F51" i="37"/>
  <c r="F50" i="37"/>
  <c r="E24" i="54" l="1"/>
  <c r="F7" i="41" l="1"/>
  <c r="E7" i="55" l="1"/>
  <c r="E10" i="55"/>
  <c r="E11" i="55"/>
  <c r="E12" i="55"/>
  <c r="E13" i="55"/>
  <c r="E14" i="55"/>
  <c r="E15" i="55"/>
  <c r="E16" i="55"/>
  <c r="E17" i="55"/>
  <c r="E18" i="55"/>
  <c r="E19" i="55"/>
  <c r="E20" i="55"/>
  <c r="E22" i="55"/>
  <c r="E23" i="55"/>
  <c r="E6" i="55"/>
  <c r="E5" i="55"/>
  <c r="E12" i="54" l="1"/>
  <c r="E11" i="54"/>
  <c r="E7" i="54"/>
  <c r="E21" i="54"/>
  <c r="E25" i="54"/>
  <c r="E26" i="54"/>
  <c r="E27" i="54"/>
  <c r="E32" i="54"/>
  <c r="E34" i="54"/>
  <c r="G24" i="55" l="1"/>
  <c r="E24" i="55" s="1"/>
  <c r="E9" i="41" l="1"/>
  <c r="E8" i="41" l="1"/>
</calcChain>
</file>

<file path=xl/sharedStrings.xml><?xml version="1.0" encoding="utf-8"?>
<sst xmlns="http://schemas.openxmlformats.org/spreadsheetml/2006/main" count="5976" uniqueCount="1237">
  <si>
    <t>Dział</t>
  </si>
  <si>
    <t>Rozdział</t>
  </si>
  <si>
    <t>w tym:</t>
  </si>
  <si>
    <t>Paragraf</t>
  </si>
  <si>
    <t>600</t>
  </si>
  <si>
    <t>921</t>
  </si>
  <si>
    <t>Lp.</t>
  </si>
  <si>
    <t>majątkowe</t>
  </si>
  <si>
    <t>bieżące</t>
  </si>
  <si>
    <t>w złotych</t>
  </si>
  <si>
    <t>OGÓŁEM</t>
  </si>
  <si>
    <t>2. Dotacje dla jednostek spoza sektora finansów publicznych</t>
  </si>
  <si>
    <t>1. Dotacje dla jednostek sektora finansów publicznych</t>
  </si>
  <si>
    <t xml:space="preserve"> OGÓŁEM</t>
  </si>
  <si>
    <t>Razem: ZAZ</t>
  </si>
  <si>
    <t>Zakład Aktywności Zawodowej w Woli Żyrakowskiej</t>
  </si>
  <si>
    <t>Zakład Aktywności Zawodowej w Woli Dalszej</t>
  </si>
  <si>
    <t>Zakład Aktywności Zawodowej w Jarosławiu</t>
  </si>
  <si>
    <t>Zakład Aktywności Zawodowej w Woli Rafałowskiej</t>
  </si>
  <si>
    <t>Zakład Aktywności Zawodowej w Nowej Sarzynie</t>
  </si>
  <si>
    <t>Zakład Aktywności Zawodowej w Rymanowie Zdroju</t>
  </si>
  <si>
    <t>Kwota 
w złotych</t>
  </si>
  <si>
    <t>Nazwa jednostki</t>
  </si>
  <si>
    <t>Zakład Aktywności Zawodowej w Maliniu</t>
  </si>
  <si>
    <t>Razem: SPZOZ</t>
  </si>
  <si>
    <t xml:space="preserve">Wojewódzki Ośrodek Medycyny Pracy w Rzeszowie </t>
  </si>
  <si>
    <t>Razem: Szpitale ogólne</t>
  </si>
  <si>
    <t>Wojewódzki Szpital im. Jana Pawła II w Krośnie</t>
  </si>
  <si>
    <t>Razem: Instytucje kultury</t>
  </si>
  <si>
    <t>Wojewódzka i Miejska Biblioteka Publiczna 
w Rzeszowie</t>
  </si>
  <si>
    <t>Arboretum i Zakład Fizjografii w Bolestraszycach</t>
  </si>
  <si>
    <t>Galeria Sztuki Współczesnej w Przemyślu</t>
  </si>
  <si>
    <t>Filharmonia Podkarpacka im. A. Malawskiego w Rzeszowie</t>
  </si>
  <si>
    <t>Teatr im. W. Siemaszkowej w Rzeszowie</t>
  </si>
  <si>
    <t>Razem: Domy kultury</t>
  </si>
  <si>
    <t>Centrum Kulturalne w Przemyślu</t>
  </si>
  <si>
    <t>Wojewódzki Dom Kultury w Rzeszowie</t>
  </si>
  <si>
    <t>Razem: Muzea</t>
  </si>
  <si>
    <t>Muzeum Marii Konopnickiej w Żarnowcu</t>
  </si>
  <si>
    <t>Muzeum Budownictwa Ludowego w Sanoku</t>
  </si>
  <si>
    <t>Muzeum Narodowe Ziemi Przemyskiej  w  Przemyślu</t>
  </si>
  <si>
    <t xml:space="preserve">Muzeum Kultury Ludowej w Kolbuszowej </t>
  </si>
  <si>
    <t>Muzeum Podkarpackie w Krośnie</t>
  </si>
  <si>
    <t>Muzeum Okręgowe w Rzeszowie</t>
  </si>
  <si>
    <t xml:space="preserve">SZCZEGÓŁOWY PODZIAŁ DOTACJI PODMIOTOWYCH  
DLA JEDNOSTEK SEKTORA FINANSÓW PUBLICZNYCH I JEDNOSTKEK SPOZA SEKTORA FINANSÓW PUBLICZNYCH  </t>
  </si>
  <si>
    <t>w tym wydatki:</t>
  </si>
  <si>
    <t>w  złotych</t>
  </si>
  <si>
    <t xml:space="preserve">OGÓŁEM </t>
  </si>
  <si>
    <t>WYDATKI OGÓŁEM</t>
  </si>
  <si>
    <t>Przeznaczenie</t>
  </si>
  <si>
    <t>Jednostka samorządu</t>
  </si>
  <si>
    <t>Nazwa</t>
  </si>
  <si>
    <t>Zakład Aktywności Zawodowej w Starych Oleszycach</t>
  </si>
  <si>
    <t xml:space="preserve">Wojewódzki Szpital im. Św. Ojca Pio w Przemyślu  </t>
  </si>
  <si>
    <t>Zakład Aktywności Zawodowej w Rzeszowie (ul. Rejtana 10)</t>
  </si>
  <si>
    <t xml:space="preserve">Kliniczny Szpital Wojewódzki Nr 2 im. Św. Jadwigi Królowej w Rzeszowie </t>
  </si>
  <si>
    <t>WYDATKI  NA  POMOC  FINANSOWĄ  UDZIELANĄ  INNYM  JEDNOSTKOM  SAMORZĄDU  TERYTORIALNEGO
NA  DOFINANSOWANIE  WŁASNYCH ZADAŃ BIEŻĄCYCH ORAZ ZADAŃ INWESTYCYJNYCH I ZAKUPÓW INWESTYCYJNYCH</t>
  </si>
  <si>
    <t>010</t>
  </si>
  <si>
    <t>01042</t>
  </si>
  <si>
    <t>01095</t>
  </si>
  <si>
    <t>60001</t>
  </si>
  <si>
    <t>60014</t>
  </si>
  <si>
    <t>630</t>
  </si>
  <si>
    <t>63003</t>
  </si>
  <si>
    <t>754</t>
  </si>
  <si>
    <t>75404</t>
  </si>
  <si>
    <t>75406</t>
  </si>
  <si>
    <t>75410</t>
  </si>
  <si>
    <t>851</t>
  </si>
  <si>
    <t>85153</t>
  </si>
  <si>
    <t>85154</t>
  </si>
  <si>
    <t>852</t>
  </si>
  <si>
    <t>85205</t>
  </si>
  <si>
    <t>85217</t>
  </si>
  <si>
    <t>853</t>
  </si>
  <si>
    <t>85311</t>
  </si>
  <si>
    <t>900</t>
  </si>
  <si>
    <t>90005</t>
  </si>
  <si>
    <t>92105</t>
  </si>
  <si>
    <t>92120</t>
  </si>
  <si>
    <t>926</t>
  </si>
  <si>
    <t>92605</t>
  </si>
  <si>
    <t>TRANSPORT I ŁĄCZNOŚĆ</t>
  </si>
  <si>
    <t>Wojewódzki Zespół Specjalistyczny w Rzeszowie</t>
  </si>
  <si>
    <t xml:space="preserve">SZCZEGÓŁOWY PODZIAŁ DOTACJI CELOWYCH Z BUDŻETU DLA JEDNOSTEK SEKTORA FINANSÓW PUBLICZNYCH </t>
  </si>
  <si>
    <t>Przeznaczenie dotacji</t>
  </si>
  <si>
    <t>Dotacje celowe dla gmin z przeznaczeniem na budowę i modernizację dróg dojazdowych do gruntów rolnych</t>
  </si>
  <si>
    <t>Komenda Wojewódzka Policji 
w Rzeszowie</t>
  </si>
  <si>
    <t>Bieszczadzki Oddział Straży Granicznej w Przemyślu</t>
  </si>
  <si>
    <t>Wpłata na Fundusz Wsparcia Bieszczadzkiego Oddziału Straży Granicznej w Przemyślu z przeznaczeniem na zakup sprzętu i wyposażenia specjalistycznego</t>
  </si>
  <si>
    <t>Komenda Wojewódzka Państwowej Staży Pożarnej w Rzeszowie</t>
  </si>
  <si>
    <t xml:space="preserve">Filharmonia Podkarpacka im. Artura Malawskiego w Rzeszowie </t>
  </si>
  <si>
    <t xml:space="preserve">Wojewódzki Dom Kultury w Rzeszowie </t>
  </si>
  <si>
    <t>Wojewódzka i Miejska Biblioteka Publiczna w Rzeszowie</t>
  </si>
  <si>
    <t>Muzeum Budownictwa Ludowego 
w Sanoku</t>
  </si>
  <si>
    <t xml:space="preserve"> PODZIAŁ  DOTACJI  CELOWYCH NA  ZADANIA  PUBLICZNE  ZLECONE DO  REALIZACJI  JEDNOSKOM SPOZA SEKTORA FINANSÓW PUBLICZNYCH ORAZ NA  CELE  PUBLICZNE ZWIĄZANE  Z  REALIZACJĄ  ZADAŃ SAMORZĄDU  WOJEWÓDZTWA</t>
  </si>
  <si>
    <t>na rekompensatę  z tytułu wykonywania kolejowych przewozów osób</t>
  </si>
  <si>
    <t>na zadania i cele publiczne z zakresu upowszechniania turystyki</t>
  </si>
  <si>
    <t xml:space="preserve">na zadania i cele publiczne z zakresu ratownictwa górskiego i wodnego </t>
  </si>
  <si>
    <t xml:space="preserve">na zadania i cele publiczne z zakresu kultury </t>
  </si>
  <si>
    <t>na zadania i cele z zakresu ochrony i konserwacji zabytków - szczegółowy podział dotacji zgodnie z zasadami udzielania dotacji dokonany zostanie odrębną uchwałą Sejmiku Województwa</t>
  </si>
  <si>
    <t xml:space="preserve">na zadania i cele publiczne z zakresu kultury fizycznej i sportu </t>
  </si>
  <si>
    <t xml:space="preserve">Wpłata na Wojewódzki Fundusz Wsparcia Policji z przeznaczeniem na zakup sprzętu i wyposażenia specjalistycznego </t>
  </si>
  <si>
    <t>Wojewódzki Szpital Podkarpacki im. Jana Pawła II w Krośnie</t>
  </si>
  <si>
    <t xml:space="preserve">Wojewódzki Szpital im. Św. Ojca Pio w Przemyślu </t>
  </si>
  <si>
    <t xml:space="preserve">Wojewódzki Podkarpacki Szpital Psychiatryczny im. prof. Eugeniusza Brzezickiego w Żurawicy </t>
  </si>
  <si>
    <t xml:space="preserve">Drogi publiczne powiatowe </t>
  </si>
  <si>
    <t xml:space="preserve">Powiat Ropczycko -  Sędziszowski </t>
  </si>
  <si>
    <t>Powiat Rzeszowski</t>
  </si>
  <si>
    <t>na realizację Programu aktywizacji gospodarczo-turystycznej województwa podkarpackiego poprzez promocję cennych przyrodniczo i krajobrazowo terenów łąkowo-pastwiskowych z zachowaniem bioróżnorodności w oparciu o naturalny wypas zwierząt gospodarskich i owadopylności - "Podkarpacki Naturalny Wypas II"</t>
  </si>
  <si>
    <t>855</t>
  </si>
  <si>
    <t>85504</t>
  </si>
  <si>
    <t>85510</t>
  </si>
  <si>
    <t>Dotacje celowe dla powiatów z przeznaczeniem na zakup sprzętu pomiarowego i informatycznego oraz oprogramowania niezbędnego do prowadzenia spraw ochrony gruntów rolnych</t>
  </si>
  <si>
    <t>Kliniczny Szpital Wojewódzki Nr 1 im. Fryderyka Chopina w Rzeszowie</t>
  </si>
  <si>
    <t>Teatr im. W. Siemaszkowej 
w Rzeszowie</t>
  </si>
  <si>
    <t>na zadania z zakresu zapewnienia instytucjonalnej pieczy zastępczej (wsparcie prowadzenia regionalnych placówek opiekuńczo-terapeutycznych)</t>
  </si>
  <si>
    <t>Muzeum Polaków Ratujących Żydów podczas II wojny światowej im. Rodziny Ulmów w Markowej</t>
  </si>
  <si>
    <t>Muzeum - Zamek w Łańcucie</t>
  </si>
  <si>
    <t xml:space="preserve">Muzeum Okręgowe w Rzeszowie </t>
  </si>
  <si>
    <t>Muzeum Narodowe Ziemi Przemyskiej w Przemyślu</t>
  </si>
  <si>
    <t xml:space="preserve"> bieżące </t>
  </si>
  <si>
    <t>Ogółem</t>
  </si>
  <si>
    <t>na realizację zadania publicznego z zakresu edukacji ekologicznej dotyczącej szkodliwości spalania odpadów w piecach i kotłach domowych</t>
  </si>
  <si>
    <t>Wojewódzka Stacja Pogotowia Ratunkowego w Rzeszowie</t>
  </si>
  <si>
    <t>cd.</t>
  </si>
  <si>
    <t xml:space="preserve">Dotacje celowe dla gmin z przeznaczeniem na modernizację dróg dojazdowych do gruntów rolnych </t>
  </si>
  <si>
    <t>na zadania i cele publiczne z zakresu przeciwdziałania narkomanii w ramach  "Wojewódzkiego Programu Przeciwdziałania Narkomanii"</t>
  </si>
  <si>
    <t>na zadania i cele publiczne z zakresu wychowywania w trzeźwości  i przeciwdziałania alkoholizmowi w ramach "Wojewódzkiego Programu Profilaktyki i Rozwiązywania Problemów Alkoholowych"</t>
  </si>
  <si>
    <t xml:space="preserve">na zadania i cele z zakresu przeciwdziałania przemocy w rodzinie w ramach "Wojewódzkiego Programu Przeciwdziałania Przemocy w Rodzinie" </t>
  </si>
  <si>
    <t xml:space="preserve">na zadania i cele z zakresu pomocy społecznej w ramach "Wojewódzkiego Programu Pomocy Społecznej" </t>
  </si>
  <si>
    <t xml:space="preserve">na zadania i cele z zakresu rehabilitacji zawodowej i społecznej oraz zatrudniania osób niepełnosprawnych w ramach "Wojewódzkiego Programu na Rzecz Wyrównywania Szans Osób Niepełnosprawnych i Przeciwdziałania ich Wykluczeniu Społecznemu" </t>
  </si>
  <si>
    <t xml:space="preserve">na zadania i cele z zakresu wspierania rodziny i systemu pieczy zastępczej w ramach "Wojewódzkiego Programu Wspierania Rodziny i Systemu Pieczy Zastępczej" </t>
  </si>
  <si>
    <t>60016</t>
  </si>
  <si>
    <t>Gmina Lutowiska</t>
  </si>
  <si>
    <t>Wpłata na Wojewódzki Fundusz  Wsparcia Państwowej  Straży Pożarnej  z przeznaczeniem na dofinansowanie budowy strażnicy JRG nr 2 dla Komendy Miejskiej Państwowej Straży Pożarnej w Rzeszowie</t>
  </si>
  <si>
    <t xml:space="preserve">Kliniczny Szpital Wojewódzki Nr 1 im. Fryderyka Chopina 
w Rzeszowie </t>
  </si>
  <si>
    <t>Realizacja zadań inwestycyjnych pn.: 
1) Rozbudowa Kliniki Hematologii oraz Kliniki Nefrologii ze Stacją Dializ Klinicznego Szpitala Wojewódzkiego nr 1 im. F. Chopina w Rzeszowie - 3.974.202,-zł,
2) Rozbudowa Kliniki Hematologii oraz Kliniki Nefrologii ze Stacją Dializ Klinicznego Szpitala Wojewódzkiego nr 1 im. F. Chopina w Rzeszowie - zakup wyposażenia - 3.000.000,-zł,
3) Montaż instalacji fotowoltaicznych w Klinicznym Szpitalu Wojewódzkim nr 1 im. Fryderyka Chopina w Rzeszowie - 32.124,-zł.</t>
  </si>
  <si>
    <t>Realizacja zadań inwestycyjnych pn.: 
1) Przebudowa budynku Histopatologii i Patomofrologii w Klinicznym Szpitalu Nr 2 im. Św. Jadwigi Królowej w Rzeszowie - 3.710.289,-zł,
2) Rozwój pracowni angiografii badań naczyniowych w Klinicznym Szpitalu Wojewódzkim Nr 2 im. Św. Jadwigi Królowej w Rzeszowie - 1.948.400,-zł,
3) Utworzenie Centrum Interwencyjnego Leczenia Udarów Mózgu w Klinicznym Szpitalu nr 2 im. Jadwigi Królowej w Rzeszowie - 2.294.241,-zł,
4) Przebudowa Kliniki Neurologii Dzieci wraz z wyposażeniem medycznym i niemedycznym - 2.094.530,-zł,
5) Utworzenie Ośrodka Leczenia Mukowiscydozy Dzieci - 500.000,-zł,</t>
  </si>
  <si>
    <t>Realizacja zadań inwestycyjnych pn.: 
1) Wymiana linii pralniczej - 1.466.700,-zł,
2) Zakup aparatu USG - 343.388,-zł,
3) Przebudowa wejścia głównego do kompleksu budynków Szpitala przy ul. Korczyńskiej 57 - 616.397,-zł.</t>
  </si>
  <si>
    <t>Specjalistyczny Psychiatryczny Zespół Opieki Zdrowotnej im A. Kępińskiego w Jarosławiu</t>
  </si>
  <si>
    <t>Realizacja zadania inwestycyjnego pn. : Modernizacja i rozbudowa budynku Nr 1</t>
  </si>
  <si>
    <t>Realizację zadań inwestycyjnych pn.: 
1) Zakup aparatu USG do Poradni Kardiologicznej - 156.440,-zł,
2) Zakup aparatu USG do Poradni Ginekologiczno-Położniczej - 156.440,-zł.</t>
  </si>
  <si>
    <t>Wojewódzki Ośrodek Medycyny Pracy w Rzeszowie</t>
  </si>
  <si>
    <t xml:space="preserve">Realizacja zadania inwestycyjnego pn.: Modernizacja Pracowni RTG i USG - Zakup ogólnodiagnostycznego cyfrowego aparatu rentgenowskiego  </t>
  </si>
  <si>
    <t>Zakład Aktywności Zawodowej w Rzeszowie (ul. Tarnowska 107)</t>
  </si>
  <si>
    <t xml:space="preserve">Muzeum Historyczne w Sanoku </t>
  </si>
  <si>
    <t>Realizacja zadania inwestycyjnego pn.: Modernizacja budynku przy ul. M.F. Focha 31 w Przemyślu</t>
  </si>
  <si>
    <t xml:space="preserve">Zakład Aktywności Zawodowej Nr 1 w Krośnie </t>
  </si>
  <si>
    <t>Zakład Aktywności Zawodowej Nr 2 w Krośnie</t>
  </si>
  <si>
    <t xml:space="preserve">Realizacja wskazanych zadań i programów: 
1) 06. Festiwal Nowego Teatru - 58. Rzeszowskie Spotkania Teatralne - 200.000,-zł,
2) XXV Rzeszowskie Spotkania Karnawałowe – 100.000,-zł,
3) Europejski program Kultury Podkarpacia TRANS/MISJE Koszyce 2019 - 300.000,-zł,
4) Scena Wędrowna Teatru im. W. Siemaszkowej w Rzeszowie - cykl spektakli, w tym: "Sprawiedliwi. Historia rodziny Ulmów" oraz "Serce bez granic" - 200.000,-zł. </t>
  </si>
  <si>
    <t>Realizacja zadania inwestycyjnego pn. "Przebudowa okna portalowego na Dużej Scenie w budynku Teatru im. W.Siemaszkowej w Rzeszowie".</t>
  </si>
  <si>
    <t>Realizacja wskazanych zadań i programów:
1) 58. Muzyczny Festiwal w Łańcucie – 400.000,-zł,
2) organizację cyklu koncertów pn. „Przestrzeń otwarta dla muzyki”- 150.000,-zł.</t>
  </si>
  <si>
    <t>Realizacja wskazanych zadań i programów: 
1) XVII Międzynarodowy Plener Artystyczny Wiklina w Arboretum 2019 - 12.000,-zł,
2) VIII Międzynarodowy Festiwal Derenia – 15.000,-zł.</t>
  </si>
  <si>
    <t xml:space="preserve">Realizacja zadań inwestycyjnych pn.:
1) Wszechświat na dłoni 2017 - 21.996,-zł,
2) Modernizacja hydroforni - adaptacja obiektu na pomieszczenie socjalne - Cisowa - 110.000,-zł,
3) Ochrona różnorodności biologicznej w warunkach in situ i ex situ na terenie ogrodu botanicznego Arboretum w Bolestraszycach - 1.028.163,-zł,
4) Zakup ciągnika rolniczego - 100.000,-zł. </t>
  </si>
  <si>
    <t>Realizacja zadań inwestycyjnych pn.:
1) Wykonanie klimatyzacji w budynku przy ul. Sokoła 13 oraz w agendach WiMBP w Rzeszowie - 120.970,-zł,
2) Modernizacja serwerowni w budynku przy ul. Sokoła 13 w Rzeszowie - 45.000,-zł.</t>
  </si>
  <si>
    <t>Realizacja wskazanych zadań i programów:
IX Karpacki festiwal Archeologiczny "Dwa Oblicza" - Trzcinica 2019</t>
  </si>
  <si>
    <t>Realizacja wskazanych zadań i programów: 
1) wkład własny do zadania pn. Kolędowanie na Rzeszowszczyźnie - 38.000,-zł,
2) wkład własny do zadania pn. Dawny przemysł wiejski - Młynarstwo. Siła wiatru i wody. Modernizacja wystawy stałej - 
3.000,-zł.</t>
  </si>
  <si>
    <t xml:space="preserve">Realizacja wskazanych zadań i programów: 
wkład własny do zadania pn. Ochrona i rozwój dziedzictwa kulturowego dawnej Ordynacji Łańcuckiej poprzez prace remontowo-konserwatorskie oraz wykreowanie nowych przestrzeni ekspozycyjnych w budynku Zamku oraz zabytkowym Parku Muzeum - Zamku w Łańcucie OR-KA II,III,IV,VII </t>
  </si>
  <si>
    <t>Realizacja zadań inwestycyjnych pn.: 
1) "Przebudowa i zmiana sposobu użytkowania XVI w. dworu - spichlerza w Zgłobniu na cele biurowe i magazynowe. Regionalna Składnica Zabytków Archeologicznych" - 600.000,-zł,
2) Zakup samochodu osobowo-dostawczego - 150.000,-zł,
3) Zakup sprzętu komputerowego wraz z oprogramowaniem do Muzeum Okręgowego w Rzeszowie - 89.000,-zł.</t>
  </si>
  <si>
    <t>Realizacja zadania inwestycyjnego pn.: Zakup centrali telefonicznej.</t>
  </si>
  <si>
    <t xml:space="preserve">Realizację zadania inwestycyjnyjnego pn.: 
wkład własny do zadania pn. Rewaloryzacja i modernizacja zabytkowych budynków Muzeum Podkarpackiego w Krośnie dla zachowania i prezentacji unikatowego dziedzictwa kulturowego regionu. </t>
  </si>
  <si>
    <t>730</t>
  </si>
  <si>
    <t>73006</t>
  </si>
  <si>
    <t>na organizację wydarzeń popularyzujących naukę</t>
  </si>
  <si>
    <t>854</t>
  </si>
  <si>
    <t>85420</t>
  </si>
  <si>
    <t>Młodzieżowe Ośrodki Wychowawcze</t>
  </si>
  <si>
    <t>EDUKACYJNA OPIEKA WYCHOWAWCZA</t>
  </si>
  <si>
    <t>Na realizację zadania pn. "Wykonanie przebudowy i nadbudowy istniejącego budynku pralni z częścią dydaktyczną w Zespole Placówek im. Jana Pawła II w Lubaczowie".</t>
  </si>
  <si>
    <t>Powiat Lubaczowski</t>
  </si>
  <si>
    <t>92601</t>
  </si>
  <si>
    <t>KULTURA FIZYCZNA</t>
  </si>
  <si>
    <t>Gmina - Miasto Rzeszów</t>
  </si>
  <si>
    <t>925</t>
  </si>
  <si>
    <t>92595</t>
  </si>
  <si>
    <t xml:space="preserve">na realizację zadania publicznego z zakresu ochrony dziedzictwa przyrodniczego poprzez działania edukacyjne dotyczące ochrony walorów krajobrazowych województwa podkarpackiego w szczególności na obszarach chronionego krajobrazu </t>
  </si>
  <si>
    <t>Realizacja wskazanych zadań i programów:
1) Międzynarodowy Festiwal Jazzowy „JAZZ BEZ…" – 30.000 zł,
2) 40. Biesiada Teatralną w Horyńcu Zdroju – Konfrontacje Zespołów Teatralnych Małych Form, warsztaty, reminiscencje horynieckie – 40.000 zł,
3) współorganizacja VI. Festiwalu Kultury Rzeczpospolitej – 50.000 zł,
4) 41. Ogólnopolski Festiwal Kapel Folkloru Miejskiego im. Jerzego Janickiego – 20.000 zł,
5) realizację projektów popularyzujących i interpretujących dziedzictwo regionalne Podkarpacia i Kresów Dawnej Rzeczypospolitej – 150.000 zł,
6) Podkarpacki Festiwal Jazzowy - 50.000 zł.</t>
  </si>
  <si>
    <t>Obiekty sportowe</t>
  </si>
  <si>
    <t>Drogi publiczne gminne</t>
  </si>
  <si>
    <t>Realizacja zadań inwestycyjnych pn.: 
1) Modernizacja Oddziału Anestezjologii i Intensywnej Terapii - 969.100,-zł,
2) Zakup sprzętu i aparatury medycznej dla Oddziału Anestezjologii i Intensywnej Terapii z Pododdziałem Toksykologii - 1.355.577,-zł.</t>
  </si>
  <si>
    <t>Realizacja zadań inwestycyjnych pn. :
1) Podkarpacki Regionalny Fundusz Filmowy - projekt Wsparcie Produkcji Filmowej - 500.000,-zł,
2) Podkarpacką Kronikę Filmową - 80.000,-zł,
3) Program "Łukasiewicz" - 200.000,-zł.</t>
  </si>
  <si>
    <t xml:space="preserve">Realizacja zadania inwestycyjnego pn.:
Zakup i montaż klimatyzatorów pomieszczeń biurowych CK. </t>
  </si>
  <si>
    <t>Realizacja zadania inwestycyjnego pn. Modernizacja systemu informatycznego i zakup zestawów komputerowych z oprogramowaniem.</t>
  </si>
  <si>
    <t>Realizacja wskazanych zadań i programów: organizacja imprezy pn. XV Festiwal Żarnowiec 2019.</t>
  </si>
  <si>
    <t>Realizacja wskazanych zadań i programów:  
1) Podkarpacki Informator Kulturalny - 100.000 zł,
2) V. Podkarpacka Jesień Jazzową - 25.000 zł,
3) Festiwal Psalmów Dawidowych „Honorując Sprawiedliwych” - 100.000 zł,
4) Dni Kardynała Kozłowieckiego - 20.000 zł,
5) Festiwal Muzyki Pozytywnej w Jarocinie - 100.000 zł,
6) Festiwal „Przemienieni” w Gminie Cmolas - 50.000 zł,
7) 100/100 Galeria Niepodległości - 50.000 zł,
8) współorganizacja XVIII Światowego Festiwalu Polonijnych Zespołów Folklorystycznych - 300.000,-zł.</t>
  </si>
  <si>
    <t>Realizacja wskazanych zadań i programów:
1) Dyskusyjne Kluby Książki – 30.000,-zł,
2) Wykonywanie zadań powiatowej biblioteki publicznej dla Powiatu Rzeszowskiego – 73.000,-zł.</t>
  </si>
  <si>
    <t>Realizacja wskazanych zadań i programów: 
1) X Edycja Festiwalu „Karpaty zaklęte w drewnie” – 40.000,-zł,
2) Katalog zabytków "Judaica w Muzeum Budownictwa Ludowego w Sanoku" - 20.000,-zł.</t>
  </si>
  <si>
    <t>Realizacja zadań inwestycyjnych pn.: 
1) wkład własny do projektu pn. Ochrona i rozwój dziedzictwa kulturowego dawnej Ordynacji Łańcuckiej poprzez prace remontowo-konserwatorskie oraz wykreowanie nowych przestrzeni ekspozycyjnych w budynku Zamku oraz zabytkowym Parku Muzeum-Zamku w Łańcucie OR-KA II, III, IV, VII - 1.957.731,-zł.
2) " Prace remontowe, konserwatorskie i budowlane Oranżerii oraz Ujeżdżalni w ramach przedsięwzięcia "Ochrona i rozwój dziedzictwa kulturowego dawnej Ordynacji Łańcuckiej poprzez prace remontowo-konserwatorskie oraz wykreowanie nowych przestrzeni ekspozycyjnych OR-KA II, III, IV, VII - 2.308.283,-zł.</t>
  </si>
  <si>
    <t>GOSPODARKA MIESZKANIOWA</t>
  </si>
  <si>
    <t>Gospodarka gruntami i nieruchomościami</t>
  </si>
  <si>
    <t>700</t>
  </si>
  <si>
    <t>70005</t>
  </si>
  <si>
    <t>Wojewódzka Stacja Pogotowia Ratunkowego w Przemyślu</t>
  </si>
  <si>
    <t xml:space="preserve">Realizacja zadania inwestycyjnego pn.: 
Zakup ambulansów sanitarnych wraz z wyposażeniem na potrzeby zespołów ratownictwa medycznego WSPR w Przemyślu. </t>
  </si>
  <si>
    <t>Realizacja zadania inwestycyjnego pn.:
Dofinansowanie zakupu urządzenia do automatycznej kompresji klatki piersiowej dla Wojewódzkiej Stacji Pogotowia Ratunkowego w Rzeszowie na doposażenie zespołu ratownictwa medycznego.</t>
  </si>
  <si>
    <t>Jednostki samorządu terytorialnego wg podziału dokonywanego przez Zarząd</t>
  </si>
  <si>
    <t>1) Rozbudowa łącznika autostrady A4 na odcniku od granicy miasta Rzeszowa do węzła Rzeszów - Północ - etap I" -  195.000,- zł,
2) "Rozbudowa łącznika drogi ekspresowej S-19 - drogi powiatowej na odcinku od węzła Rzeszów - Południe do drogi krajowej nr 19 - etap I" - 150.000,-zł.</t>
  </si>
  <si>
    <t>60017</t>
  </si>
  <si>
    <t>Drogi wewnętrzne</t>
  </si>
  <si>
    <t>Gmina Sanok</t>
  </si>
  <si>
    <t>Przebudowa istniejącego parkingu w Brzegach Górnych.</t>
  </si>
  <si>
    <t>"Budowa łącznika autostrady A4 (węzeł Sędziszów Małopolski) z drogą krajową Nr 94 wraz z niezbędną infrastrukturą techniczną, budowlami i urządzeniami budowlanymi - etap I".</t>
  </si>
  <si>
    <t>Gmina Radymno</t>
  </si>
  <si>
    <t>"Budowa Podkarpackiego Centrum Lekkoatletycznego w Rzeszowie przy ul. Wyspiańskiego 22".</t>
  </si>
  <si>
    <t>Na realizację zadania pn. „Wymiana instalacji centralnego ogrzewania i zagospodarowanie terenu wokół budynku byłej szkoły w Chotyńcu”.</t>
  </si>
  <si>
    <t>Na realizację zadania pn. „Przebudowa drogi wewnętrznej nr ew. dz. 1003, 1791 i 1531 w km 0+007- 0+179 i w km 0+185-0+352 oraz przebudowa przepustu w km 0+179- 0+185 w m. Strachocina”.</t>
  </si>
  <si>
    <t>na zadania inwestycyjne związane z realizacją zadań w zakresie upowszechniania turystyki</t>
  </si>
  <si>
    <t>803</t>
  </si>
  <si>
    <t>80395</t>
  </si>
  <si>
    <t>Dofinansowanie zadania pn.: "Unowocześnienie bazy dydaktyczno - naukowej Ośrodka Kształcenia Lotniczego Politechniki Rzeszowskiej. Zakup samolotu szkoleniowego"</t>
  </si>
  <si>
    <t>Politechnika Rzeszowska im. Ignacego Łukasiewicza w Rzeszowie</t>
  </si>
  <si>
    <t>Bieszczadzki Park Narodowy</t>
  </si>
  <si>
    <t>Na sfinansowanie budowy bacówki wraz z wyposażeniem na Połoninie Wetlińskiej.</t>
  </si>
  <si>
    <t>Plan dochodów na 2019 r. według działów, rozdziałów, paragrafów klasyfikacji budżetowej oraz źródeł dochodów</t>
  </si>
  <si>
    <t>Rozdz.</t>
  </si>
  <si>
    <t>Źródło pochodzenia</t>
  </si>
  <si>
    <t>Plan dochodów na 2018 r. wg stanu na 31.08.2018 r. -przewidywane wykonanie dochodów w 2018 r.</t>
  </si>
  <si>
    <t>Prognozowana kwota na 
2019 r.</t>
  </si>
  <si>
    <t>Propozycje zmian</t>
  </si>
  <si>
    <t>Plan na 2019 r.</t>
  </si>
  <si>
    <t>% wzrostu planu (6/5)</t>
  </si>
  <si>
    <t>1.</t>
  </si>
  <si>
    <t>2.</t>
  </si>
  <si>
    <t>3.</t>
  </si>
  <si>
    <t>4.</t>
  </si>
  <si>
    <t>5.</t>
  </si>
  <si>
    <t>7.</t>
  </si>
  <si>
    <t>ROLNICTWO I ŁOWIECTWO</t>
  </si>
  <si>
    <t>01004</t>
  </si>
  <si>
    <t xml:space="preserve">Biura geodezji i terenów rolnych </t>
  </si>
  <si>
    <t>a) dochody bieżące, w tym:</t>
  </si>
  <si>
    <t xml:space="preserve">Dochody realizowane przez Podkarpackie Biuro Geodezji i Terenów Rolnych w Rzeszowie </t>
  </si>
  <si>
    <t>0830</t>
  </si>
  <si>
    <t>0970</t>
  </si>
  <si>
    <t>b) dochody majątkowe</t>
  </si>
  <si>
    <t>01008</t>
  </si>
  <si>
    <t>Melioracje wodne</t>
  </si>
  <si>
    <t>Zwrot rozliczonych zaliczek wpłaconych w latach 2015 - 2016 na koszty złożenia do depozytu odszkodowań za przejęte grunty pod inwestycje melioracyjne</t>
  </si>
  <si>
    <t>0940</t>
  </si>
  <si>
    <t xml:space="preserve">Dotacje celowe otrzymane z budżetu państwa na zadania bieżące z zakresu administracji rządowej oraz inne zadania zlecone ustawami realizowane przez samorząd województwa </t>
  </si>
  <si>
    <t>5% dochodów uzyskiwanych na rzecz budżetu państwa w związku z realizacją zadań z zakresu administracji rządowej oraz innych zadań zleconych ustawami</t>
  </si>
  <si>
    <t>b) dochody majątkowe, w tym:</t>
  </si>
  <si>
    <t xml:space="preserve">Dotacje celowe otrzymane z budżetu państwa na inwestycje i zakupy inwestycyjne z zakresu administracji rządowej oraz inne zadania zlecone ustawami realizowane przez samorząd województwa </t>
  </si>
  <si>
    <t>Dotacje celowe otrzymane z budżetu państwa na inwestycje i zakupy inwestycyjne z zakresu administracji rządowej oraz inne zadania zlecone ustawami realizowane przez samorząd województwa - wydatki niekwalifikowalne na realizację inwestycji melioracyjnych w ramach Regionalnego Programu Operacyjnego Województwa Podkarpackiego na lata 2014-2020</t>
  </si>
  <si>
    <t>01041</t>
  </si>
  <si>
    <t>Program Rozwoju Obszarów Wiejskich</t>
  </si>
  <si>
    <t>Dotacja celowa z budżetu państwa na finansowanie wydatków objętych Pomocą Techniczną Programu Rozwoju Obszarów Wiejskich na lata 2014 - 2020</t>
  </si>
  <si>
    <t>Dotacja celowa z budżetu państwa na współfinansowanie wydatków objętych Pomocą Techniczną Programu Rozwoju Obszarów Wiejskich na lata 2014 - 2020</t>
  </si>
  <si>
    <t>Wyłączenie z produkcji gruntów rolnych</t>
  </si>
  <si>
    <t>Wpływy z tytułu opłat za wyłączenie z produkcji gruntów rolnych</t>
  </si>
  <si>
    <t>0690</t>
  </si>
  <si>
    <t>01078</t>
  </si>
  <si>
    <t>Usuwanie skutków klęsk żywiołowych</t>
  </si>
  <si>
    <t>Pozostała działalność</t>
  </si>
  <si>
    <t>Dotacja otrzymana z Wojewódzkiego Funduszu Ochrony Środowiska i Gospodarki Wodnej w Rzeszowie</t>
  </si>
  <si>
    <t>050</t>
  </si>
  <si>
    <t xml:space="preserve">RYBOŁÓWSTWO I RYBACTWO </t>
  </si>
  <si>
    <t>05011</t>
  </si>
  <si>
    <t>Program Operacyjny Zrównoważony rozwój sektora rybołówstwa i nadbrzeżnych obszarów rybackich 2007 - 2013 oraz Program Operacyjny Rybactwo i Morze 2014 - 2020</t>
  </si>
  <si>
    <t>Dotacja celowa z budżetu państwa na finansowanie wydatków objętych Pomocą Techniczną Programu Operacyjnego Rybactwo i Morze 2014 - 2020</t>
  </si>
  <si>
    <t>Dotacja celowa z budżetu państwa na współfinansowanie wydatków objętych Pomocą Techniczną Programu Operacyjnego Rybactwo i Morze 2014 - 2020</t>
  </si>
  <si>
    <t>100</t>
  </si>
  <si>
    <t>GÓRNICTWO I KOPALNICTWO</t>
  </si>
  <si>
    <t>10095</t>
  </si>
  <si>
    <t xml:space="preserve">b) dochody majątkowe </t>
  </si>
  <si>
    <t>150</t>
  </si>
  <si>
    <t>PRZETWÓRSTWO PRZEMYSŁOWE</t>
  </si>
  <si>
    <t>15011</t>
  </si>
  <si>
    <t>Rozwój przedsiębiorczości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</si>
  <si>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2014-2020 </t>
  </si>
  <si>
    <t xml:space="preserve">Zwrot części dotacji wykorzystanych niezgodnie z przeznaczeniem, pobranych nienależnie lub w nadmiernej wysokości przez beneficjentów projektów realizowanych w ramachProgram Operacyjny Kapitał Ludzki </t>
  </si>
  <si>
    <t xml:space="preserve">Zwrot części niewykorzystanych dotacji przez beneficjentów projektów realizowanych w ramach Regionalnego Programu Operacyjnego Województwa Podkarpackiego na lata 2014-2020 </t>
  </si>
  <si>
    <t xml:space="preserve">Zwrot przez partnera niewykorzystanej dotacji dotyczącej realizacji projektu pn. „Podkarpacka Platforma Wsparcia Biznesu” w ramach Regionalnego Programu Operacyjnego Województwa Podkarpackiego na lata 2014-2020 </t>
  </si>
  <si>
    <t>Krajowe pasażerskie przewozy kolejowe</t>
  </si>
  <si>
    <t>Dzierżawa autobusów szynowych</t>
  </si>
  <si>
    <t>0750</t>
  </si>
  <si>
    <t>Zwrot podatku VAT od dostaw pojazdów szynowych (z lat ubiegłych)</t>
  </si>
  <si>
    <t>Zwrot podatku VAT od dostaw pojazdów szynowych</t>
  </si>
  <si>
    <t>Dotacje otrzymane z państwowych funduszy celowych na realizację zadań bieżących jednostek sektora finansów publicznych (Fundusz Kolejowy)</t>
  </si>
  <si>
    <t>2440</t>
  </si>
  <si>
    <t>Wpływy ze zwrotów niewykorzystanych dotacji oraz płatności</t>
  </si>
  <si>
    <t>2950</t>
  </si>
  <si>
    <t>Dotacje otrzymane z państwowych funduszy celowych na finansowanie lub dofinansowanie kosztów realizacji inwestycji i zakupów inwestycyjnych i jednostek sektora finansów publicznych (Fundusz Kolejowy)</t>
  </si>
  <si>
    <t>Infrastruktura kolejowa</t>
  </si>
  <si>
    <t xml:space="preserve">Zwrot podatku VAT w związku z realizacją zadania pn.: "Budowa Podmiejskiej Kolei Aglomeracyjnej - PKA": budowa zaplecza technicznego w ramach Programu Operacyjnego Infrastruktura i Środowisko na lata 2014 - 2020 </t>
  </si>
  <si>
    <t>Środki pochodzące z budżetu Unii Europejskiej na realizację zadania pn.: "Budowa Podmiejskiej Kolei Aglomeracyjnej - PKA": budowa zaplecza technicznego w ramach Programu Operacyjnego Infrastruktura i Środowisko na lata 2014 - 2020</t>
  </si>
  <si>
    <t>Krajowe pasażerskie przewozy autobusowe</t>
  </si>
  <si>
    <t>Lokalny transport zbiorowy</t>
  </si>
  <si>
    <t xml:space="preserve">Opłaty za wydawanie zezwoleń na regularny przewóz osób </t>
  </si>
  <si>
    <t>0620</t>
  </si>
  <si>
    <t>Drogi publiczne wojewódzkie</t>
  </si>
  <si>
    <t>Dochody realizowane przez Podkarpacki Zarząd Dróg Wojewódzkich w Rzeszowie</t>
  </si>
  <si>
    <t>Dotacja celowa z budżetu państwa z przeznaczeniem na dofinansowanie zadań z zakresu remontu, utrzymania i zarządzania drogami wojewódzkimi</t>
  </si>
  <si>
    <t>2230</t>
  </si>
  <si>
    <t xml:space="preserve">Środki pozyskane z nadleśnictw na dofinansowanie własnych zadań bieżących Samorządu Województwa </t>
  </si>
  <si>
    <t>2700</t>
  </si>
  <si>
    <t>Wpływ z tytułu pomocy finansowej udzielanej między jednostkami samorządu terytorialnego na dofinansowanie własnych zadań bieżących</t>
  </si>
  <si>
    <t>2710</t>
  </si>
  <si>
    <t>Środki pochodzące z budżetu Unii Europejskiej na realizację inwestycji drogowych w ramach Programu Operacyjnego Polska Wschodnia na lata 2014-2020</t>
  </si>
  <si>
    <t>Środki pochodzące z budżetu Unii Europejskiej jako refundacja wydatków poniesionych ze środków własnych na realizację inwestycji drogowych w ramach Programu Operacyjnego Polska Wschodnia na lata 2014-2020</t>
  </si>
  <si>
    <t>Środki pochodzące z budżetu Unii Europejskiej jako refundacja wydatków poniesionych ze środków własnych na realizację projektów własnych w ramach Programu Współpracy Transgranicznej Interreg V-A Polska - Słowacja 2014-2020</t>
  </si>
  <si>
    <t>Środki pochodzące z budżetu Unii Europejskiej jako refundacja wydatków poniesionych ze środków własnych na realizację projektów własnych w ramach Programu Współpracy Transgranicznej Polska - Białoruś  - Ukraina  2014-2020</t>
  </si>
  <si>
    <t>Środki pochodzące z budżetu Unii Europejskiej na realizację projektów własnych w ramach Programu Współpracy Transgranicznej Interreg V-A Polska - Słowacja 2014-2021</t>
  </si>
  <si>
    <t>Środki pochodzące z budżetu Unii Europejskiej na realizację projektów własnych w ramach Programu Współpracy Transgranicznej Polska - Białoruś - Ukraina 2014 - 2020</t>
  </si>
  <si>
    <t>Środki otrzymane do pozostałych jednostek zaliczanych do sektora finansów publicznych na finansowanie lub dofinansowanie kosztów realizacji inwestycji i zakupów inwestycyjnych jednostek zaliczanych do sektora finansów publicznych</t>
  </si>
  <si>
    <t>Dotacja celowa otrzymana z tytułu pomocy finansowej udzielanej między jednostkami samorządu terytorialnego na dofinansowanie własnych zadań inwestycyjnych i zakupów inwestycyjnych</t>
  </si>
  <si>
    <t>Dochody z tytułu opłat za wpis do rejestru przedsiębiorców prowadzących pracownię psychologiczną, za wpis do ewidencji uprawnionych psychologów, za wpis do ewidencji uprawnionych lekarzy, opłaty za wpis do ewidencji egzaminatorów wynikające z ustawy o kierujących pojazdami</t>
  </si>
  <si>
    <t>TURYSTYKA</t>
  </si>
  <si>
    <t>Zadania w zakresie upowszechniania turystyki</t>
  </si>
  <si>
    <t>Środki pochodzące z budżetu Unii Europejskiej jako refundacja wydatków poniesionych ze środków własnych na realizację projektu pn. "Góry bez granic - integracja sieci szlaków w transgraniczny produkt turystyczny" w ramach Programu Współpracy Transgranicznej INTERREG V-A Polska - Słowacja 2014-2020</t>
  </si>
  <si>
    <t>Opłaty za trwały zarząd, użytkowanie i służebność</t>
  </si>
  <si>
    <t>0470</t>
  </si>
  <si>
    <t>Wpływy z opłat z tytułu użytkowania wieczystego nieruchomości</t>
  </si>
  <si>
    <t>0550</t>
  </si>
  <si>
    <t xml:space="preserve">Dochody z najmu i dzierżawy składników majątkowych </t>
  </si>
  <si>
    <t>Wpływy z tytułu przekształcenia prawa użytkowania wieczystego w prawo własności</t>
  </si>
  <si>
    <t>0760</t>
  </si>
  <si>
    <t>Dochody ze sprzedaży mienia będącego w zasobie Województwa.
Wykaz nieruchomości do sprzedaży:
1) Działki okołolotniskowe - 3.000.000,-zł,
2) Tarnobrzeg - Działka nr 1546 położona przy ul. Sienkiewicza w Tarnobrzegu, zabudowana budynkami biurowo - magazynowymi (obiekt po PZMiUW w Rzeszowie) - 730.000,-zł,
3) Lubaczów - Lokal użytkowy nr 2 w budynku położonym w Lubaczowie przy ul. Słowackiego na działce nr 2750/1 wraz z garażami położonymi na działkach nr 2750/5 i 2750/7, z udziałem w działkach nr 2750/2 i 2750/3 (obiekt po PZMiUW w Rzeszowie) - 150.000,-zł,
4) Krosno - Lokal użytkowy nr 4 i nr 5 w budynku położonym w Krośnie przy ul. Żółkiewskiego na działce nr 436/5 wraz z garażami położonymi na działkach nr 436/6 i 436/7, z udziałem w działce 436/8 (obiekt po PZMiUW w Rzeszowie) - 290.000,-zł,
5) Mielec - lokal nr 5 w budynku przy ul. Korczaka w Mielcu na działce nr 805/2, działka nr 805/10 zabudowana budynkiem garażowym z udziałem w działkach nr 805/4 i 805/8 (obiekt po PZMiUW w Rzeszowie) - 440.000,-zł,
6) Wilcza Wola - Lokal nr 2 w budynku w Wilczej Woli na działce nr 5863/5, działka nr 4647/11 zabudowana budynkiem garaży, działka nr 4643/4 i 5863/7 (obiekt po PZMiUW w Rzeszowie) - 50.000,-zł.</t>
  </si>
  <si>
    <t>0770</t>
  </si>
  <si>
    <t>DZIAŁALNOŚĆ USŁUGOWA</t>
  </si>
  <si>
    <t>Biura planowania przestrzennego</t>
  </si>
  <si>
    <t xml:space="preserve">Dochody realizowane przez Podkarpackie Biuro Planowania Przestrzennego w Rzeszowie </t>
  </si>
  <si>
    <t>Prace geologiczne (nieinwestycyjne)</t>
  </si>
  <si>
    <t>Zadania z zakresu geodezji i kartografii</t>
  </si>
  <si>
    <t xml:space="preserve">Dochody realizowane przez Wojewódzki Ośrodek Dokumentacji Geodezyjnej i Kartograficznej w Rzeszowie </t>
  </si>
  <si>
    <t>0909</t>
  </si>
  <si>
    <t>Dotacja celowa z budżetu państwa na realizację projektu pn.: "Podkarpacki System Informacji Przestrzennej (PSIP)" realizowanego w ramach Regionalnego Programu Operacyjnego Województwa Podkarpackiego na lata 2014 - 2020</t>
  </si>
  <si>
    <t>2059</t>
  </si>
  <si>
    <t>2210</t>
  </si>
  <si>
    <t>Zwrot części dotacji wykorzystanych niezgodnie z przeznaczeniem pobranych nienależnie lub w nadmiernej wysokości przez Partnerów projektu pn.: "Podkarpacki System Informacji Przestrzennej (PSIP)" realizowanego w ramach Regionalnego Programu Operacyjnego Województwa Podkarpackiego na lata 2014 - 2020</t>
  </si>
  <si>
    <t>2917</t>
  </si>
  <si>
    <t>INFORMATYKA</t>
  </si>
  <si>
    <t xml:space="preserve">Wpływy z tytułu refundacji opłat za dysponowanie nieruchomościami w związku z utrzymaniem infrastruktury wytworzonej w ramach projektu pn.: "Sieć Szerokopasmowa Polski Wschodniej - Województwo Podkarpackie" </t>
  </si>
  <si>
    <t>NAUKA</t>
  </si>
  <si>
    <t xml:space="preserve">Zwrot nadpłaconej diety w ramach realizacji projektu pn.: "Inteligentne specjalizacje - narzędzie wzrostu innowacyjności i konkurencyjności województwa podkarpackiego" w ramach Regionalnego Programu Operacyjnego Województwa Podkarpackiego na lata 2014-2020 </t>
  </si>
  <si>
    <t>0947</t>
  </si>
  <si>
    <t>Środki pochodzące z budżetu Unii Europejskiej jako refundacja wydatków poniesionych ze środków własnych na realizację projektu pn. Zachowanie i promocja dziedzictwa przyrodniczego i kulturowego poprzez Zielone Szlaki" w ramach Programu INTERREG EUROPA 2014-2020</t>
  </si>
  <si>
    <t>2058</t>
  </si>
  <si>
    <t>Środki pochodzące z budżetu Unii Europejskiej jako refundacja wydatków poniesionych ze środków własnych na realizację projektu pn. "Żywe laboratorium polityki publicznej" w ramach Programu INTERREG EUROPA 2014-2020</t>
  </si>
  <si>
    <t>ADMINISTRACJA PUBLICZNA</t>
  </si>
  <si>
    <t>Urzędy wojewódzkie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</si>
  <si>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</si>
  <si>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</si>
  <si>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>Dochody realizowane przez Urząd Marszałkowski Województwa Podkarpackiego</t>
  </si>
  <si>
    <t>0640</t>
  </si>
  <si>
    <t>0950</t>
  </si>
  <si>
    <t xml:space="preserve">Dotacje celowe otrzymane z budżetu państwa na realizację bieżących zadań własnych samorządu województwa </t>
  </si>
  <si>
    <t>Komisje egzaminacyjne</t>
  </si>
  <si>
    <t>Promocja jednostek samorządu terytorialnego</t>
  </si>
  <si>
    <t>Środki pochodzące z budżetu Unii Europejskiej jako refundacja wydatków poniesionych ze środków własnych na realizację projektu pn. "Szlak Maryjny (Światło ze Wschodu)" w ramach Programu Współpracy Transgranicznej INTERREG V-A Polska - Słowacja 2014-2020</t>
  </si>
  <si>
    <t>Środki pochodzące z budżetu Unii Europejskiej jako refundacja wydatków poniesionych ze środków własnych na realizację projektu pn. "Szlak Kultury Wołoskiej" w ramach Programu Współpracy Transgranicznej INTERREG V-A Polska - Słowacja 2014-2020</t>
  </si>
  <si>
    <t>Środki pochodzące z budżetu Unii Europejskiej jako refundacja wydatków poniesionych ze środków własnych na realizację projektu pn. "Szlakiem obiektów UNESCO na pograniczu polsko - słowackim" w ramach Programu Współpracy Transgranicznej INTERREG V-A Polska - Słowacja 2014-2020</t>
  </si>
  <si>
    <t>Środki pochodzące z budżetu Unii Europejskiej jako refundacja wydatków poniesionych ze środków własnych na realizację projektu pn. "W sercu Karpat - granica, która łączy" w ramach Programu Współpracy Transgranicznej INTERREG V-A Polska - Słowacja 2014-2020</t>
  </si>
  <si>
    <t>Dotacja celowa z budżetu państwa jako refundacja wydatków poniesionych ze środków własnych na realizację projektu pn. "Szlakiem obiektów UNESCO na pograniczu polsko - słowackim" w ramach Programu Współpracy Transgranicznej INTERREG V-A Polska - Słowacja 2014-2020</t>
  </si>
  <si>
    <t>Dotacja celowa z budżetu państwa jako refundacja wydatków poniesionych ze środków własnych na realizację projektu pn. "W sercu Karpat - granica, która łączy" w ramach Programu Współpracy Transgranicznej INTERREG V-A Polska - Słowacja 2014-2020</t>
  </si>
  <si>
    <t>Pomoc zagraniczna</t>
  </si>
  <si>
    <t>Dotacje celowe otrzymane z budżetu państwa na zadania bieżące realizowane przez samorząd województwa na podstawie porozumień z organami administracji rządowej</t>
  </si>
  <si>
    <t>Dotacje celowe otrzymane z budżetu państwa na inwestycje i zakupy inwestycyjne realizowane przez samorząd województwa na podstawie porozumień z organami administracji rządowej</t>
  </si>
  <si>
    <t>Funkcjonowanie wojewódzkich rad dialogu społecznego</t>
  </si>
  <si>
    <t>0630</t>
  </si>
  <si>
    <t>Środki pochodzące z budżetu Unii Europejskiej na realizację projektu pn. „Punkty Informacyjne Funduszy Europejskich” w ramach Programu Operacyjnego Pomoc Techniczna na lata 2014-2020</t>
  </si>
  <si>
    <t>Środki pochodzące z budżetu Unii Europejskiej na realizację projektu pn.: "Kondycja społeczno - gospodarcza rodzin z uwzględnieniem zjawiska depopulacji" w ramach Programu Operacyjnego Pomoc Techniczna na lata 2014-2020</t>
  </si>
  <si>
    <t>Środki pochodzące z budżetu Unii Europejskiej na realizację projektu pn."Projekt wsparcia jednostek samorządu terytorialnego w opracowaniu lub aktualizacji programów rewitalizacji" w ramach Programu Operacyjnego Pomoc Techniczna na lata 2014-2020</t>
  </si>
  <si>
    <t>Dotacja celowa z budżetu państwa na realizację projektu pn. „Punkty Informacyjne Funduszy Europejskich” w ramach Programu Operacyjnego Pomoc Techniczna na lata 2014-2020</t>
  </si>
  <si>
    <t>Dotacja celowa z budżetu państwa na realizację projektu pn.: "Kondycja społeczno - gospodarcza rodzin z uwzględnieniem zjawiska depopulacji" w ramach Programu Operacyjnego Pomoc Techniczna na lata 2014-2020</t>
  </si>
  <si>
    <t>Dotacja celowa z budżetu państwa na realizację projektu pn. "Projekt wsparcia jednostek samorządu terytorialnego w opracowaniu lub aktualizacji programów rewitalizacji" w ramach Programu Operacyjnego Pomoc Techniczna na lata 2014-2020</t>
  </si>
  <si>
    <t>Środki pochodzące z budżetu Unii Europejskiej jako refundacja wydatków poniesionych ze środków własnych na realizację projektu pn. "Partnerstwo dla wspólnego rozwoju" w ramach Pomocy Technicznej Programu Współpracy Transgranicznej INTERREG V-A Polska - Słowacja 2014-2020</t>
  </si>
  <si>
    <t>Środki pochodzące z budżetu Unii Europejskiej na realizację projektu pn.: "Funkcjonowanie Oddziału Programu Współpracy Transgranicznej EIS Polska - Białoruś - Ukraina 2014-2020 w Rzeszowie" w ramach Programu Współpracy Transgranicznej Polska - Białoruś - Ukraina 2014-2020</t>
  </si>
  <si>
    <t>Dotacja celowa z budżetu państwa jako refundacja wydatków poniesionych ze środków własnych na realizację projektu pn. "Partnerstwo dla wspólnego rozwoju" w ramach Pomocy Technicznej Programu Współpracy Transgranicznej INTERREG V-A Polska - Słowacja 2014-2020</t>
  </si>
  <si>
    <t>Dotacja celowa otrzymane z tytułu pomocy finansowej udzielanej między jednostkami samorządu terytorialnego na dofinansowanie własnych zadań inwestycyjnych i zakupów inwestycyjnych</t>
  </si>
  <si>
    <t>OBRONA NARODOWA</t>
  </si>
  <si>
    <t>Pozostałe wydatki obronne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</si>
  <si>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</si>
  <si>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</si>
  <si>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Opłaty eksploatacyjne za wydobywanie węglowodorów ze złóż zlokalizowanych na terenie województwa podkarpackiego</t>
  </si>
  <si>
    <t>0460</t>
  </si>
  <si>
    <t>Opłaty za zezwolenia na hurtową sprzedaż alkoholu</t>
  </si>
  <si>
    <t>0480</t>
  </si>
  <si>
    <t>Opłaty koncesyjne za poszukiwanie lub rozpoznawanie złóż węglowodorów oraz za wydobywanie węglowodorów ze złóż na terenie województwa podkarpackiego</t>
  </si>
  <si>
    <t>0590</t>
  </si>
  <si>
    <t>Dochody realizowane przez Wojewódzki Urząd Pracy w Rzeszowie</t>
  </si>
  <si>
    <t>Udziały województw w podatkach stanowiących dochód budżetu państwa</t>
  </si>
  <si>
    <t>Udział w podatku dochodowym od osób fizycznych</t>
  </si>
  <si>
    <t>0010</t>
  </si>
  <si>
    <t>Udział w podatku dochodowym od osób prawnych</t>
  </si>
  <si>
    <t>0020</t>
  </si>
  <si>
    <t>RÓŻNE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</si>
  <si>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</si>
  <si>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</si>
  <si>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</si>
  <si>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a) dochody bieżące,</t>
  </si>
  <si>
    <t>Środki na inwestycje na drogach publicznych powiatowych i wojewódzkich oraz na drogach powiatowych, wojewódzkich i krajowych w granicach miast na prawach powiatu</t>
  </si>
  <si>
    <t>Część wyrównawcza subwencji ogólnej dla województw</t>
  </si>
  <si>
    <t>Różne rozliczenia finansowe</t>
  </si>
  <si>
    <t>Odsetki od środków na rachunkach bankowych oraz lokat terminowych</t>
  </si>
  <si>
    <t>0920</t>
  </si>
  <si>
    <t>Część regionalna subwencji ogólnej dla województw</t>
  </si>
  <si>
    <t>2920</t>
  </si>
  <si>
    <t>Regionalne Programy Operacyjne 2014 - 2020 finansowane 
z udziałem środków Europejskiego Funduszu Rozwoju Regionalnego</t>
  </si>
  <si>
    <t>Środki pochodzące z budżetu Unii Europejskiej na realizację projektów własnych w ramach Regionalnego Programu Operacyjnego Województwa Podkarpackiego na lata 2014 - 2020</t>
  </si>
  <si>
    <t>Dotacja celowa z budżetu państwa na współfinansowanie projektów w ramach Regionalnego Programu Operacyjnego Województwa Podkarpackiego na lata 2014 - 2020</t>
  </si>
  <si>
    <t>Środki pochodzące z budżetu Unii Europejskiej jako refundacja wydatków poniesionych ze środków własnych na realizację projektów własnych w ramach Regionalnego Programu Operacyjnego Województwa Podkarpackiego na lata 2014 - 2020</t>
  </si>
  <si>
    <t>Dotacja celowa z budżetu państwa na współfinansowanie projektów realizowanych w ramach  Regionalnego Programu Operacyjnego Województwa Podkarpackiego na lata 2014 - 2020</t>
  </si>
  <si>
    <t>Dotacja celowa z budżetu państwa jako refundacja wydatków poniesionych ze środków własnych na współfinansowanie projektów w ramach Regionalnego Programu Operacyjnego Województwa Podkarpackiego na lata 2014 - 2020</t>
  </si>
  <si>
    <t>Dotacja celowa z budżetu państwa na współfinansowanie projektów własnych realizowanych w ramach Regionalnego Programu Operacyjnego Województwa Podkarpackiego na lata 2014 - 2020</t>
  </si>
  <si>
    <t>Regionalne Programy Operacyjne 2014 - 2020 finansowane 
z udziałem środków Europejskiego Funduszu Społecznego</t>
  </si>
  <si>
    <t>Dotacja celowa z budżetu państwa na współfinansowanie projektów własnych i realizowanych przez beneficjentów w ramach Regionalnego Programu Operacyjnego Województwa Podkarpackiego na lata 2014 - 2020</t>
  </si>
  <si>
    <t>Dotacja celowa z budżetu państwa na finansowanie wydatków objętych Pomocą Techniczną Regionalnego Programu Operacyjnego Województwa Podkarpackiego na lata 2014 - 2020</t>
  </si>
  <si>
    <t>Dotacja celowa z budżetu państwa na współfinansowanie projektów własnych w ramach Regionalnego Programu Operacyjnego Województwa Podkarpackiego na lata 2014 - 2020</t>
  </si>
  <si>
    <t xml:space="preserve">Dotacja celowa z budżetu państwa na finansowanie wydatków objętych Pomocą Techniczną Regionalnego Programu Operacyjnego Województwa Podkarpackiego na lata 2014 – 2020 </t>
  </si>
  <si>
    <t>OŚWIATA I WYCHOWANIE</t>
  </si>
  <si>
    <t>Szkoły podstawowe specjalne</t>
  </si>
  <si>
    <t>Dochody realizowane przez jednostki oświatowe</t>
  </si>
  <si>
    <t>Szkoły policealne</t>
  </si>
  <si>
    <t>Szkoły zawodowe</t>
  </si>
  <si>
    <t>Dokształcanie i doskonalenie nauczycieli</t>
  </si>
  <si>
    <t>Środki pochodzące z budżetu Unii Europejskiej na realizację projektu pn.: "Razem odkryjmy świat programowania - szkolenia dla nauczycieli i uczniów z podregionu rzeszowskiego" w ramach Programu Operacyjnego Polska Cyfrowa na lata 2014 - 2020</t>
  </si>
  <si>
    <t>2057</t>
  </si>
  <si>
    <t>Środki pochodzące z budżetu Unii Europejskiej na realizację projektu pn.: "Razem odkryjmy świat programowania - szkolenia dla nauczycieli i uczniów z podregionu przemyskiego" w ramach Programu Operacyjnego Polska Cyfrowa na lata 2014 - 2020</t>
  </si>
  <si>
    <t>Środki pochodzące z budżetu Unii Europejskiej na realizację projektu pn.: "Razem odkryjmy świat programowania - szkolenia dla nauczycieli i uczniów z podregionu krośnieńskiego" w ramach Programu Operacyjnego Polska Cyfrowa na lata 2014 - 2020</t>
  </si>
  <si>
    <t>Dotacja celowa z budżetu państwa na realizację projektu pn.: "Razem odkryjmy świat programowania - szkolenia dla nauczycieli i uczniów z podregionu przemyskiego" w ramach Programu Operacyjnego Polska Cyfrowa na lata 2014 - 2020</t>
  </si>
  <si>
    <t>Dotacja celowa z budżetu państwa na realizację projektu pn.: "Razem odkryjmy świat programowania - szkolenia dla nauczycieli i uczniów z podregionu rzeszowskiego" w ramach Programu Operacyjnego Polska Cyfrowa na lata 2014 - 2020</t>
  </si>
  <si>
    <t>Dotacja celowa z budżetu państwa na realizację projektu pn.: "Razem odkryjmy świat programowania - szkolenia dla nauczycieli i uczniów z podregionu krośnieńskiego" w ramach Programu Operacyjnego Polska Cyfrowa na lata 2014 - 2020</t>
  </si>
  <si>
    <t>Biblioteki pedagogiczne</t>
  </si>
  <si>
    <t xml:space="preserve">Dochody realizowane przez jednostki oświatowe </t>
  </si>
  <si>
    <t xml:space="preserve">Środki pochodzące z budżetu Unii Europejskiej na realizację projektu pn. " Rozwijanie profesjonalizmu" w ramach Programu ERASMUS+ </t>
  </si>
  <si>
    <t>2001</t>
  </si>
  <si>
    <t xml:space="preserve">Środki pochodzące z budżetu Unii Europejskiej jako refundacja wydatków poniesionych ze środków własnych na realizację projektu pn. " Rozwijanie profesjonalizmu" w ramach Programu ERASMUS+ </t>
  </si>
  <si>
    <t>2051</t>
  </si>
  <si>
    <t xml:space="preserve">Środki pochodzące z budżetu Unii Europejskiej na realizację projektu pn. " Europa w szkole szpitalnej" w ramach Programu ERASMUS+ </t>
  </si>
  <si>
    <t>2919</t>
  </si>
  <si>
    <t>2959</t>
  </si>
  <si>
    <t>6699</t>
  </si>
  <si>
    <t>SZKOLNICTWO WYŻSZE</t>
  </si>
  <si>
    <t>Pomoc materialna dla studentów i doktorantów</t>
  </si>
  <si>
    <t>Odsetki od zwrotów stypendiów udzielonych w ramach projektu pn. "Podkarpacki fundusz stypendialny dla doktorantów" w ramach Programu Operacyjnego Kapitał Ludzki</t>
  </si>
  <si>
    <t>0929</t>
  </si>
  <si>
    <t>OCHRONA ZDROWIA</t>
  </si>
  <si>
    <t>Szpitale ogólne</t>
  </si>
  <si>
    <t>a) dochody bieżące</t>
  </si>
  <si>
    <t>Dotacje celowe otrzymane z budżetu państwa na realizację inwestycji i zakupów inwestycyjnych własnych samorządu województwa</t>
  </si>
  <si>
    <t>Ratownictwo medyczne</t>
  </si>
  <si>
    <t>Dotacje celowe otrzymane z budżetu państwa na inwestycje i zakupy inwestycyjne z zakresu administracji rządowej oraz inne zadania zlecone ustawami realizowane przez samorząd województwa</t>
  </si>
  <si>
    <t>Lecznictwo psychiatryczne</t>
  </si>
  <si>
    <t>Składki na ubezpieczenie zdrowotne oraz świadczenia dla osób nieobjętych obowiązkiem ubezpieczenia zdrowotnego</t>
  </si>
  <si>
    <t>POMOC SPOŁECZNA</t>
  </si>
  <si>
    <t>Zadania w zakresie przeciwdziałania przemocy w rodzinie</t>
  </si>
  <si>
    <t>Dotacje celowe otrzymane z budżetu państwa na realizację bieżących zadań własnych samorządu województwa</t>
  </si>
  <si>
    <t>Regionalne ośrodki polityki społecznej</t>
  </si>
  <si>
    <t>Dochody realizowane przez Regionalny Ośrodek Polityki Społecznej w Rzeszowie</t>
  </si>
  <si>
    <t>Środki pochodzące z budżetu Unii Europejskiej na realizację projektu pn. "Liderzy kooperacji" w ramach Programu Operacyjnego Wiedza Edukacja Rozwój 2014-2020</t>
  </si>
  <si>
    <t>Dotacja celowa z budżetu państwa na realizację projektu pn. "Liderzy kooperacji" w ramach Programu Operacyjnego Wiedza Edukacja Rozwój 2014-2020</t>
  </si>
  <si>
    <t>Środki pochodzące z budżetu Unii Europejskiej jako refundacja wydatków poniesionych ze środków własnych na realizację projektu pn. "CE 985 SENTINEL - rozwój i umacnianie pozycji przedsiębiorstw społecznych w celu maksymalnego zwiększenia ich wpływu na sektor ekonomiczny i społeczny w państwach Europy Środkowej" w ramach programu Interreg Europa Środkowa na lata 2014 - 2020</t>
  </si>
  <si>
    <t>Zwrot części niewykorzystanych dotacji przez beneficjentów projektów realizowanych w ramach Regionalnego Programu Operacyjnego Województwa Podkarpackiego na lata 2014-2020</t>
  </si>
  <si>
    <t>POZOSTAŁE ZADANIA W ZAKRESIE POLITYKI SPOŁECZNEJ</t>
  </si>
  <si>
    <t>Państwowy Fundusz Rehabilitacji Osób Niepełnosprawnych</t>
  </si>
  <si>
    <t xml:space="preserve">Wpływ 2,5% odpisu ze środków Państwowego Funduszu Rehabilitacji Osób Niepełnosprawnych </t>
  </si>
  <si>
    <t>Wojewódzkie Urzędy Pracy</t>
  </si>
  <si>
    <t>Dotacja celowa z budżetu państwa na współfinansowanie projektów w ramach Programu Operacyjnego Wiedza, Edukacja, Rozwój 2014 - 2020</t>
  </si>
  <si>
    <t>2009</t>
  </si>
  <si>
    <t>Dotacja celowa z budżetu państwa na finansowanie wydatków objętych Pomocą Techniczną Programu Operacyjnego Wiedza, Edukacja, Rozwój 2014 - 2020</t>
  </si>
  <si>
    <t>Dotacje otrzymane z państwowych funduszy celowych na realizację zadań bieżących jednostek sektora finansów publicznych (Fundusz Gwarantowanych Świadczeń Pracowniczych)</t>
  </si>
  <si>
    <t>Środki pochodzące z budżetu Unii Europejskiej na realizację projektu pn.: „Standardy w zakresie mieszkalnictwa wspomaganego dla osób chorujących psychicznie po wielokrotnych pobytach w szpitalach psychiatrycznych" w ramach Programu Operacyjnego Wiedza, Edukacja, Rozwój 2014-2020</t>
  </si>
  <si>
    <t xml:space="preserve">Dotacja celowa z budżetu państwa na realizację projektu pn.: „Standardy w zakresie mieszkalnictwa wspomaganego dla osób chorujących psychicznie po wielokrotnych pobytach w szpitalach psychiatrycznych" w ramach Programu Operacyjnego Wiedza, Edukacja, Rozwój 2014-2020 </t>
  </si>
  <si>
    <t>Zwrot części dotacji wykorzystanych niezgodnie z przeznaczeniem, pobranych nienależnie lub w nadmiernej wysokości przez beneficjentów projektów realizowanych w ramach Programu Operacyjnego Kapitał Ludzki</t>
  </si>
  <si>
    <t>Zwrot części niewykorzystanych dotacji przez beneficjentów projektów realizowanych w ramach Programu Operacyjnego Wiedza, Edukacja, Rozwój na lata 2014 - 2020</t>
  </si>
  <si>
    <t>RODZINA</t>
  </si>
  <si>
    <t>Wspieranie rodziny</t>
  </si>
  <si>
    <t>Środki pochodzące z budżetu Unii Europejskiej na realizację projektu pn. „Bliżej rodziny - szkolenia dla kadr systemów wspierania rodziny i pieczy zastępczej” w ramach Programu Operacyjnego Wiedza Edukacja Rozwój na lata 2014-2020</t>
  </si>
  <si>
    <t>2007</t>
  </si>
  <si>
    <t>Dotacja celowa z budżetu państwa na realizację projektu pn.:  „Bliżej rodziny - szkolenia dla kadr systemów wspierania rodziny i pieczy zastępczej” w ramach Programu Operacyjnego Wiedza Edukacja Rozwój na lata 2014-2020</t>
  </si>
  <si>
    <t>Działalność ośrodków adopcyjnych</t>
  </si>
  <si>
    <t>Działalność placówek opiekuńczo - wychowawczych</t>
  </si>
  <si>
    <t>Dotacje celowe otrzymane z powiatu na zadania bieżące realizowane na podstawie porozumień (umów) między jednostkami samorządu terytorialnego</t>
  </si>
  <si>
    <t>2320</t>
  </si>
  <si>
    <t>Wpływy ze zwrotów dotacji oraz płatności wykorzystanych niezgodnie z przeznaczeniem lub wykorzystanych z naruszeniem procedur, o których mowa w art. 184 ustawy, pobranych nienależnie lub w nadmiernej wysokości</t>
  </si>
  <si>
    <t>2910</t>
  </si>
  <si>
    <t>GOSPODARKA KOMUNALNA I OCHRONA ŚRODOWISKA</t>
  </si>
  <si>
    <t>Gospodarka odpadami komunalnymi</t>
  </si>
  <si>
    <t>35,65% wpływu z opłaty rejestrowej i opłaty rocznej od podmiotów wprowadzających produkty, produkty w opakowaniach i gospodarujących odpadami</t>
  </si>
  <si>
    <t>Ochrona powietrza atmosferycznego i klimatu</t>
  </si>
  <si>
    <t>2460</t>
  </si>
  <si>
    <t>Zmniejszenie hałasu i wibracji</t>
  </si>
  <si>
    <t>Środki otrzymane od pozostałych jednostek zaliczanych do sektora finansów publicznych na realizację zadań bieżących jednostek zaliczanych do sektora finansów publicznych (Wojewódzki Fundusz Ochrony Środowiska i Gospodarki Wodnej w Rzeszowie)</t>
  </si>
  <si>
    <t>Wpływy i wydatki związane z gromadzeniem środków z opłat i kar za korzystanie ze środowiska</t>
  </si>
  <si>
    <t xml:space="preserve">3% wpływu z tytułu opłat za korzystanie ze środowiska </t>
  </si>
  <si>
    <t>Wpływy i wydatki związane z gromadzeniem środków z opłat produktowych</t>
  </si>
  <si>
    <t xml:space="preserve">2% i 10% wpływu z tytułu opłaty produktowej oraz dodatkowej opłaty produktowej </t>
  </si>
  <si>
    <t>0400</t>
  </si>
  <si>
    <t xml:space="preserve">5 % wpływu z tytułu opłat za nieosiągnięcie wymaganego poziomu odzysku i recyklingu odpadów pochodzących z pojazdów wycofanych z eksploatacji </t>
  </si>
  <si>
    <t>0530</t>
  </si>
  <si>
    <t xml:space="preserve">10% wpływu z tytułu opłaty produktowej oraz dodatkowej opłaty produktowej </t>
  </si>
  <si>
    <t xml:space="preserve">Wpływy i wydatki związane z wprowadzeniem do obrotu baterii i akumulatorów </t>
  </si>
  <si>
    <t>5% wpływu z tytułu opłat za wprowadzanie do obrotu baterii i akumulatorów</t>
  </si>
  <si>
    <t>KULTURA I OCHRONA DZIEDZICTWA NARODOWEGO</t>
  </si>
  <si>
    <t>Teatry</t>
  </si>
  <si>
    <t>Wpływy z tytułu pomocy finansowej udzielanej między jednostkami samorządu terytorialnego na dofinansowanie własnych zadań bieżących</t>
  </si>
  <si>
    <t>Filharmonie, orkiestry, chóry i kapele</t>
  </si>
  <si>
    <t>Domy i ośrodki kultury, świetlice i kluby</t>
  </si>
  <si>
    <t>Zwrot części niewykorzystanych dotacji na realizację zadań z zakresu kultury</t>
  </si>
  <si>
    <t>6690</t>
  </si>
  <si>
    <t xml:space="preserve">Biblioteki 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</si>
  <si>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</si>
  <si>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</si>
  <si>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Muzea</t>
  </si>
  <si>
    <t>Środki pochodzące z budżetu Unii Europejskiej jako refundacja wydatków poniesionych ze środków własnych na realizację projektu pn.: "CRinMA- Cultural Resources in the Mountain Area" w ramach Programu Interreg Europa na lata 2014 - 2020</t>
  </si>
  <si>
    <t>OGRODY BOTANICZNE I ZOOLOGICZNE ORAZ NATURALNE OBSZARY I OBIEKTY CHRONIONEJ PRZYRODY</t>
  </si>
  <si>
    <t>Parki krajobrazowe</t>
  </si>
  <si>
    <t>Dochody realizowane przez Zespół Karpackich Parków Krajobrazowych w Krośnie</t>
  </si>
  <si>
    <t>DOCHODY OGÓŁEM</t>
  </si>
  <si>
    <t>dochody bieżące</t>
  </si>
  <si>
    <t xml:space="preserve">w tym finansowane z dotacji </t>
  </si>
  <si>
    <t>w tym finansowane z dochodów własnych</t>
  </si>
  <si>
    <t>dochody majątkowe</t>
  </si>
  <si>
    <t>Plan wydatków na 2019 r. według działów, rozdziałów, grup wydatków, paragrafów klasyfikacji budżetowej</t>
  </si>
  <si>
    <t>Wyszczególnienie</t>
  </si>
  <si>
    <t>Plan wydatków na 2018 r. wg stanu na 31.08.2018 r. przewidywane wykonanie wydatków w 2018</t>
  </si>
  <si>
    <t>% zmiana planu (6:5)</t>
  </si>
  <si>
    <t>Rolnictwo i łowiectwo</t>
  </si>
  <si>
    <t>Biura geodezji i terenów rolnych</t>
  </si>
  <si>
    <t>wydatki bieżące:</t>
  </si>
  <si>
    <t>wydatki jednostek budżetowych w tym na:</t>
  </si>
  <si>
    <t xml:space="preserve"> - wynagrodzenia i składki od nich naliczane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</si>
  <si>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</si>
  <si>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</si>
  <si>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</si>
  <si>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</si>
  <si>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</si>
  <si>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</si>
  <si>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</si>
  <si>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</si>
  <si>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</si>
  <si>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</si>
  <si>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 xml:space="preserve"> - wydatki związane z realizacją zadań statutowych jednostek budżetowych</t>
  </si>
  <si>
    <t>4140</t>
  </si>
  <si>
    <t>Wpłaty na Państwowy Fundusz Rehabilitacji Osób Niepełnosprawnych</t>
  </si>
  <si>
    <t>4210</t>
  </si>
  <si>
    <t>Zakup materiałów i wyposażenia</t>
  </si>
  <si>
    <t>4220</t>
  </si>
  <si>
    <t>Zakup środków żywności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</si>
  <si>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</si>
  <si>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</si>
  <si>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</si>
  <si>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</si>
  <si>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</si>
  <si>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</si>
  <si>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</si>
  <si>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</si>
  <si>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</si>
  <si>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</si>
  <si>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</si>
  <si>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</si>
  <si>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</si>
  <si>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</si>
  <si>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</si>
  <si>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</si>
  <si>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</si>
  <si>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</si>
  <si>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</si>
  <si>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</si>
  <si>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</si>
  <si>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</si>
  <si>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4510</t>
  </si>
  <si>
    <t>Opłaty na rzecz budżetu państwa</t>
  </si>
  <si>
    <t>4520</t>
  </si>
  <si>
    <t>Opłaty na rzecz budżetów jednostek samorządu terytorialnego</t>
  </si>
  <si>
    <t>4530</t>
  </si>
  <si>
    <t>Podatek od towarów i usług (VAT)</t>
  </si>
  <si>
    <t>4700</t>
  </si>
  <si>
    <t xml:space="preserve">Szkolenia pracowników niebędących członkami korpusu służby cywilnej </t>
  </si>
  <si>
    <t>świadczenia na rzecz osób fizycznych:</t>
  </si>
  <si>
    <t>3020</t>
  </si>
  <si>
    <t>Wydatki osobowe niezaliczone do wynagrodzeń</t>
  </si>
  <si>
    <t>wydatki majątkowe:</t>
  </si>
  <si>
    <t>inwestycje i zakupy inwestycyjne</t>
  </si>
  <si>
    <t>6060</t>
  </si>
  <si>
    <t>Wydatki inwestycyjne jednostek budżetowych</t>
  </si>
  <si>
    <t>01006</t>
  </si>
  <si>
    <t>Zarządy melioracji i urządzeń wodnych</t>
  </si>
  <si>
    <t>4500</t>
  </si>
  <si>
    <t>Pozostałe podatki na rzecz budżetów jednostek samorządu terytorialnego</t>
  </si>
  <si>
    <t>6050</t>
  </si>
  <si>
    <t>6660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</si>
  <si>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</si>
  <si>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- wydatki na programy finansowane z udziałem środków UE i źródeł zagranicznych</t>
  </si>
  <si>
    <t xml:space="preserve">Program Rozwoju Obszarów Wiejskich </t>
  </si>
  <si>
    <t>wydatki na programy finansowane z udziałem środków UE i źródeł zagranicznych</t>
  </si>
  <si>
    <t>2008</t>
  </si>
  <si>
    <t>Dotacje celowe w ramach programów finansowanych z udziałem środków europejskich oraz środków, o których mowa w art. 5 ust. 1 pkt 3 oraz ust.3 pkt 5 i 6 ustawy, lub płatności w ramach budżetu środków europejskich, z wyłączeniem wydatków klasyfikowanych w paragrafie 205</t>
  </si>
  <si>
    <t>Dotacje celowe w ramach programów finansowanych z udziałem środków europejskich oraz środków, o których mowa w art.. 5 ust. 3 pkt 5 lit. a i b ustawy, lub płatności w ramach budżetu środków europejskich, realizowanych przez jednostki samorządu terytorialnego</t>
  </si>
  <si>
    <t>4018</t>
  </si>
  <si>
    <t>4019</t>
  </si>
  <si>
    <t>4048</t>
  </si>
  <si>
    <t>4049</t>
  </si>
  <si>
    <t>4118</t>
  </si>
  <si>
    <t>4119</t>
  </si>
  <si>
    <t>4128</t>
  </si>
  <si>
    <t>4129</t>
  </si>
  <si>
    <t>4178</t>
  </si>
  <si>
    <t>4179</t>
  </si>
  <si>
    <t>4198</t>
  </si>
  <si>
    <t>Nagrody konkursowe</t>
  </si>
  <si>
    <t>4199</t>
  </si>
  <si>
    <t>4218</t>
  </si>
  <si>
    <t>4219</t>
  </si>
  <si>
    <t>4278</t>
  </si>
  <si>
    <t>4279</t>
  </si>
  <si>
    <t>4308</t>
  </si>
  <si>
    <t>4309</t>
  </si>
  <si>
    <t>4398</t>
  </si>
  <si>
    <t>4399</t>
  </si>
  <si>
    <t>4418</t>
  </si>
  <si>
    <t>4419</t>
  </si>
  <si>
    <t>4438</t>
  </si>
  <si>
    <t>4439</t>
  </si>
  <si>
    <t>4708</t>
  </si>
  <si>
    <t>4709</t>
  </si>
  <si>
    <t>dotacje na zadania bieżące:</t>
  </si>
  <si>
    <t>2310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</si>
  <si>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</si>
  <si>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</si>
  <si>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Wydatki na zakupy inwestycyjne jednostek budżetowych</t>
  </si>
  <si>
    <t>6610</t>
  </si>
  <si>
    <t>Dotacje celowe przekazane gminie na inwestycje i zakupy inwestycyjne realizowane na podstawie porozumień (umów) między jednostkami samorządu terytorialnego</t>
  </si>
  <si>
    <t>6620</t>
  </si>
  <si>
    <t>Dotacje celowe przekazane dla powiatu na inwestycje i zakupy inwestycyjne realizowane na podstawie porozumień (umów) między jednostkami samorządu terytorialnego</t>
  </si>
  <si>
    <t>Zwrot dotacji oraz płatności, w tym wykorzystanych niezgodnie z przeznaczeniem lub wykorzystanych z naruszeniem procedur, o których mowa w art.. 184 ustawy, pobranych nienależnie lub w nadmiernej wysokości, dotyczące wydatków majątkowych</t>
  </si>
  <si>
    <t>4190</t>
  </si>
  <si>
    <t>4590</t>
  </si>
  <si>
    <t>Kary i odszkodowania wypłacane na rzecz osób fizycznych</t>
  </si>
  <si>
    <t>4610</t>
  </si>
  <si>
    <t>Koszty postępowania sądowego i prokuratorskiego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</si>
  <si>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</si>
  <si>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</si>
  <si>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Rybołówstwo i rybactwo</t>
  </si>
  <si>
    <t>Program Operacyjny Zrównoważony rozwój sektora rybołówstwa i nadbrzeżnych obszarów rybackich 2007-2013 oraz Program Operacyjny Rybactwo i Morze 2014-2020</t>
  </si>
  <si>
    <t>2918</t>
  </si>
  <si>
    <t xml:space="preserve">Zwrot dotacji oraz płatności wykorzystanych niezgodnie z przeznaczeniem lub wykorzystanych z naruszeniem procedur, o których mowa w art.. 184 ustawy, pobranych nienależnie lub w nadmiernej wysokości </t>
  </si>
  <si>
    <t>Zakup usług obejmujących wykonywanie ekspertyz, analiz i opinii</t>
  </si>
  <si>
    <t>4569</t>
  </si>
  <si>
    <t>Odsetki od dotacji oraz płatności: wykorzystanych niezgodnie z przeznaczeniem lub wykorzystanych z naruszeniem procedur, o których mowa w art. 184 ustawy, pobranych nienależnie lub w nadmiernej wysokości</t>
  </si>
  <si>
    <t>Przetwórstwo przemysłowe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</si>
  <si>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205</t>
  </si>
  <si>
    <t>Zwroty dotacji oraz płatności wykorzystanych niezgodnie z przeznaczeniem lub wykorzystanych z naruszeniem procedur, o których mowa w art. 184 ustawy, pobranych nienależnie lub w nadmiernej wysokości</t>
  </si>
  <si>
    <t>Zwrot niewykorzystanych dotacji oraz płatności</t>
  </si>
  <si>
    <t>2957</t>
  </si>
  <si>
    <t>4017</t>
  </si>
  <si>
    <t>4047</t>
  </si>
  <si>
    <t>4117</t>
  </si>
  <si>
    <t>4127</t>
  </si>
  <si>
    <t>4217</t>
  </si>
  <si>
    <t>4307</t>
  </si>
  <si>
    <t>4417</t>
  </si>
  <si>
    <t>4707</t>
  </si>
  <si>
    <t>6067</t>
  </si>
  <si>
    <t>6207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</si>
  <si>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625</t>
  </si>
  <si>
    <t>6209</t>
  </si>
  <si>
    <t>6259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</si>
  <si>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</si>
  <si>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Rozwój kadr nowoczesnej gospodarki i przedsiębiorczości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</si>
  <si>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</si>
  <si>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6697</t>
  </si>
  <si>
    <t>500</t>
  </si>
  <si>
    <t>Handel</t>
  </si>
  <si>
    <t>50005</t>
  </si>
  <si>
    <t>Promocja eksportu</t>
  </si>
  <si>
    <t>Transport i łączność</t>
  </si>
  <si>
    <t>4570</t>
  </si>
  <si>
    <t>Odsetki od nieterminowych wpłat z tytułu pozostałych podatków i opłat</t>
  </si>
  <si>
    <t>Dotacja celowa na pomoc finansową udzielaną między jednostkami samorządu terytorialnego na dofinansowanie własnych zadań bieżących</t>
  </si>
  <si>
    <t>2830</t>
  </si>
  <si>
    <t>Dotacja celowa z budżetu na finansowanie lub dofinansowanie zadań zleconych do realizacji pozostałym jednostkom niezaliczanym do sektora finansów publicznych</t>
  </si>
  <si>
    <t>6069</t>
  </si>
  <si>
    <t>60002</t>
  </si>
  <si>
    <t>6057</t>
  </si>
  <si>
    <t>6059</t>
  </si>
  <si>
    <t>60003</t>
  </si>
  <si>
    <t>2630</t>
  </si>
  <si>
    <t xml:space="preserve">Dotacja przedmiotowa z budżetu dla jednostek niezaliczanych do sektora finansów publicznych </t>
  </si>
  <si>
    <t>60004</t>
  </si>
  <si>
    <t>60013</t>
  </si>
  <si>
    <t>4420</t>
  </si>
  <si>
    <t>Podróże służbowe zagraniczne</t>
  </si>
  <si>
    <t>4580</t>
  </si>
  <si>
    <t>Pozostałe odsetki</t>
  </si>
  <si>
    <t>4600</t>
  </si>
  <si>
    <t>Kary, odszkodowania i grzywny wypłacane na rzecz osób prawnych i innych jednostek organizacyjnych</t>
  </si>
  <si>
    <t xml:space="preserve"> inwestycje i zakupy inwestycyjne</t>
  </si>
  <si>
    <t>6058</t>
  </si>
  <si>
    <t>6068</t>
  </si>
  <si>
    <t>Drogi publiczne powiatowe</t>
  </si>
  <si>
    <t>Wydatki majątkowe:</t>
  </si>
  <si>
    <t xml:space="preserve"> - inwestycyjne i zakupy inwestycyjne</t>
  </si>
  <si>
    <t>6300</t>
  </si>
  <si>
    <t>Dotacja celowa na pomoc finansową  udzielaną między jednostkami samorządu terytorialnego na dofinansowanie własnych zadań inwestycyjnych i zakupów inwestycyjnych</t>
  </si>
  <si>
    <t>60095</t>
  </si>
  <si>
    <t>Turystyka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</si>
  <si>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</si>
  <si>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4389</t>
  </si>
  <si>
    <t>Zakup usług obejmujących tłumaczenia</t>
  </si>
  <si>
    <t>4428</t>
  </si>
  <si>
    <t>4429</t>
  </si>
  <si>
    <t>63095</t>
  </si>
  <si>
    <t>2330</t>
  </si>
  <si>
    <t>Dotacje celowe przekazane do samorządu województwa na zadania bieżące realizowane na podstawie porozumień (umów) między jednostkami samorządu terytorialnego</t>
  </si>
  <si>
    <t>Gospodarka mieszkaniowa</t>
  </si>
  <si>
    <t xml:space="preserve">Dotacja celowa na pomoc finansową udzielaną między jednostkami samorządu terytorialnego na dofinansowanie własnych zadań bieżących </t>
  </si>
  <si>
    <t>70095</t>
  </si>
  <si>
    <t>710</t>
  </si>
  <si>
    <t>Działalność usługowa</t>
  </si>
  <si>
    <t>71003</t>
  </si>
  <si>
    <t>Zakup środków żywnościowych</t>
  </si>
  <si>
    <t>4240</t>
  </si>
  <si>
    <t>Zakup środków dydaktycznych i książek</t>
  </si>
  <si>
    <t>71012</t>
  </si>
  <si>
    <t>Opłata z tytułu zakupu usług telekomunikacyjnych</t>
  </si>
  <si>
    <t>71095</t>
  </si>
  <si>
    <t>720</t>
  </si>
  <si>
    <t>Informatyka</t>
  </si>
  <si>
    <t>72095</t>
  </si>
  <si>
    <t>6257</t>
  </si>
  <si>
    <t>Nauka</t>
  </si>
  <si>
    <t>Działalność upowszechniająca naukę</t>
  </si>
  <si>
    <t>73095</t>
  </si>
  <si>
    <t>4177</t>
  </si>
  <si>
    <t>4387</t>
  </si>
  <si>
    <t>4388</t>
  </si>
  <si>
    <t>4397</t>
  </si>
  <si>
    <t>4427</t>
  </si>
  <si>
    <t>750</t>
  </si>
  <si>
    <t>Administracja publiczna</t>
  </si>
  <si>
    <t>75011</t>
  </si>
  <si>
    <t>75017</t>
  </si>
  <si>
    <t>Samorządowe sejmiki województw</t>
  </si>
  <si>
    <t>3030</t>
  </si>
  <si>
    <t xml:space="preserve">Różne wydatki na rzecz osób fizycznych </t>
  </si>
  <si>
    <t>75018</t>
  </si>
  <si>
    <t>wydatki bieżące</t>
  </si>
  <si>
    <t>4380</t>
  </si>
  <si>
    <t>3028</t>
  </si>
  <si>
    <t>3029</t>
  </si>
  <si>
    <t>3038</t>
  </si>
  <si>
    <t>Różne wydatki na rzecz osób fizycznych</t>
  </si>
  <si>
    <t>3039</t>
  </si>
  <si>
    <t>4268</t>
  </si>
  <si>
    <t>4269</t>
  </si>
  <si>
    <t>4288</t>
  </si>
  <si>
    <t>4289</t>
  </si>
  <si>
    <t>4368</t>
  </si>
  <si>
    <t>Opłaty z tytułu zakupu usług telekomunikacyjnych świadczonych w ruchomej publicznej sieci telefonicznej</t>
  </si>
  <si>
    <t>4408</t>
  </si>
  <si>
    <t>4409</t>
  </si>
  <si>
    <t>4528</t>
  </si>
  <si>
    <t>4529</t>
  </si>
  <si>
    <t>4618</t>
  </si>
  <si>
    <t>4619</t>
  </si>
  <si>
    <t>75046</t>
  </si>
  <si>
    <t>75075</t>
  </si>
  <si>
    <t>Szkolenia pracowników niebędących członkami korpusu służby cywilnej</t>
  </si>
  <si>
    <t>Zwroty niewykorzystanych dotacji oraz płatności, dotyczące wydatków majątkowych</t>
  </si>
  <si>
    <t>75079</t>
  </si>
  <si>
    <t>4470</t>
  </si>
  <si>
    <t>Cła</t>
  </si>
  <si>
    <t>75084</t>
  </si>
  <si>
    <t>świadczenia na rzecz osób fizycznych</t>
  </si>
  <si>
    <t>75095</t>
  </si>
  <si>
    <t>4540</t>
  </si>
  <si>
    <t>Składki dla organizacji międzynarodowych</t>
  </si>
  <si>
    <t>Dotacja celowa z budżetu na finansowanie lub dofinansowanie zadań zleconych do realizacji pozostałym jednostkom nie zaliczanym do sektora finansów publicznych</t>
  </si>
  <si>
    <t>2958</t>
  </si>
  <si>
    <t>4228</t>
  </si>
  <si>
    <t>4229</t>
  </si>
  <si>
    <t>4369</t>
  </si>
  <si>
    <t>6230</t>
  </si>
  <si>
    <t>Dotacje celowe z budżetu na finansowanie lub dofinansowanie kosztów realizacji inwestycji i zakupów inwestycyjnych jednostek niezaliczanych do sektora finansów publicznych</t>
  </si>
  <si>
    <t>6669</t>
  </si>
  <si>
    <t>zakup i objęcie akcji i udziałów</t>
  </si>
  <si>
    <t>6010</t>
  </si>
  <si>
    <t>Wydatki na zakup i objęcie akcji, wniesienie wkładów do spółek prawa handlowego oraz na uzupełnienie funduszy statutowych banków państwowych i innych instytucji finansowych</t>
  </si>
  <si>
    <t>752</t>
  </si>
  <si>
    <t>Obrona narodowa</t>
  </si>
  <si>
    <t>75212</t>
  </si>
  <si>
    <t>Bezpieczeństwo publiczne i ochrona przeciwpożarowa</t>
  </si>
  <si>
    <t>Komendy wojewódzkie Policji</t>
  </si>
  <si>
    <t>6170</t>
  </si>
  <si>
    <t>Wpłaty jednostek na państwowy fundusz celowy na finansowanie lub dofinansowanie zadań inwestycyjnych</t>
  </si>
  <si>
    <t>Straż Graniczna</t>
  </si>
  <si>
    <t>3000</t>
  </si>
  <si>
    <t>Wpłaty jednostek na państwowy fundusz celowy</t>
  </si>
  <si>
    <t>Komendy wojewódzkie Państwowej Straży Pożarnej</t>
  </si>
  <si>
    <t>75412</t>
  </si>
  <si>
    <t>Ochotnicze straże pożarne</t>
  </si>
  <si>
    <t>75415</t>
  </si>
  <si>
    <t>Zadania ratownictwa górskiego i wodnego</t>
  </si>
  <si>
    <t>757</t>
  </si>
  <si>
    <t>Obsługa długu publicznego</t>
  </si>
  <si>
    <t>75702</t>
  </si>
  <si>
    <t>Obsługa papierów wartościowych, kredytów i pożyczek jednostek samorządu terytorialnego</t>
  </si>
  <si>
    <t>obsługa długu JST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</si>
  <si>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</si>
  <si>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</si>
  <si>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</si>
  <si>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</si>
  <si>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wypłaty z tytułu poręczeń i gwarancji:</t>
  </si>
  <si>
    <t>8030</t>
  </si>
  <si>
    <t xml:space="preserve">Wypłaty z tytułu krajowych poręczeń i gwarancji </t>
  </si>
  <si>
    <t>758</t>
  </si>
  <si>
    <t>Różne rozliczenia</t>
  </si>
  <si>
    <t>75818</t>
  </si>
  <si>
    <t>Rezerwy ogólne i celowe</t>
  </si>
  <si>
    <t>4810</t>
  </si>
  <si>
    <t>Rezerwy</t>
  </si>
  <si>
    <t>6800</t>
  </si>
  <si>
    <t>Rezerwy na inwestycje i zakupy inwestycyjne</t>
  </si>
  <si>
    <t>801</t>
  </si>
  <si>
    <t>Oświata i wychowanie</t>
  </si>
  <si>
    <t>80101</t>
  </si>
  <si>
    <t xml:space="preserve">Szkoły podstawowe </t>
  </si>
  <si>
    <t>80102</t>
  </si>
  <si>
    <t xml:space="preserve">Wynagrodzenia bezosobowe </t>
  </si>
  <si>
    <t>80111</t>
  </si>
  <si>
    <t>Gimnazja specjalne</t>
  </si>
  <si>
    <t>80116</t>
  </si>
  <si>
    <t>80121</t>
  </si>
  <si>
    <t>Licea ogólnokształcące specjalne</t>
  </si>
  <si>
    <t>80130</t>
  </si>
  <si>
    <t>4340</t>
  </si>
  <si>
    <t>Zakup usług remontowo-konserwatorskich dotyczących obiektów zabytkowych będących w użytkowaniu jednostek budżetowych</t>
  </si>
  <si>
    <t xml:space="preserve">Opłaty na rzecz budżetów jednostek budżetowych </t>
  </si>
  <si>
    <t>3240</t>
  </si>
  <si>
    <t>Stypendia dla uczniów</t>
  </si>
  <si>
    <t>3247</t>
  </si>
  <si>
    <t>3249</t>
  </si>
  <si>
    <t>4247</t>
  </si>
  <si>
    <t>4249</t>
  </si>
  <si>
    <t>80146</t>
  </si>
  <si>
    <t>Dotacje celowe w ramach programów finansowanych z udziałem środków europejskich oraz środków, o których mowa w art.. 5 ust. 3 pkt 5 lit a i b ustawy, lub płatności w ramach budżetu środków europejskich, realizowanych przez jednostki samorządu terytorialnego</t>
  </si>
  <si>
    <t>3027</t>
  </si>
  <si>
    <t>4227</t>
  </si>
  <si>
    <t>4267</t>
  </si>
  <si>
    <t>4347</t>
  </si>
  <si>
    <t>Zakup usług remontowo - konserwatorskich dotyczących obiektów zabytkowych będących w użytkowaniu jednostek budżetowych</t>
  </si>
  <si>
    <t>4349</t>
  </si>
  <si>
    <t>4367</t>
  </si>
  <si>
    <t xml:space="preserve">Opłaty z tytułu zakupu usług telekomunikacyjnych </t>
  </si>
  <si>
    <t>80147</t>
  </si>
  <si>
    <t>80151</t>
  </si>
  <si>
    <t>Kwalifikacyjne kursy zawodowe</t>
  </si>
  <si>
    <t>80195</t>
  </si>
  <si>
    <t>3040</t>
  </si>
  <si>
    <t>Nagrody o charakterze szczególnym niezaliczone do wynagrodzeń</t>
  </si>
  <si>
    <t>4701</t>
  </si>
  <si>
    <t>Szkolnictwo wyższe</t>
  </si>
  <si>
    <t>80309</t>
  </si>
  <si>
    <t>4989</t>
  </si>
  <si>
    <t>Zwroty dotyczące rozliczeń z Komisją Europejską</t>
  </si>
  <si>
    <t>3250</t>
  </si>
  <si>
    <t>Stypendia różne</t>
  </si>
  <si>
    <t>dotacje na zadania bieżące</t>
  </si>
  <si>
    <t>2500</t>
  </si>
  <si>
    <t>Dotacja podmiotowa z budżetu dla uczelni niepublicznej na zadania, o których mowa w art. 94 ust. 1 pkt 1 ustawy z dnia 27 lipca 2005 r. - Prawo o szkolnictwie wyższym</t>
  </si>
  <si>
    <t>2520</t>
  </si>
  <si>
    <t>Dotacja podmiotowa z budżetu dla uczelni publicznej na zadania, o których mowa w art. 94 ust. 1 pkt 1 ustawy z dnia 27 lipca 2005 r. - Prawo o szkolnictwie wyższym</t>
  </si>
  <si>
    <t>6220</t>
  </si>
  <si>
    <t>Dotacje celowe z budżetu na finansowanie lub dofinansowanie kosztów realizacji inwestycji i zakupów inwestycyjnych innych jednostek sektora finansów publicznych</t>
  </si>
  <si>
    <t>Ochrona zdrowia</t>
  </si>
  <si>
    <t>85111</t>
  </si>
  <si>
    <t>4160</t>
  </si>
  <si>
    <t>Pokrycie ujemnego wyniku finansowego jednostek zaliczanych do sektora finansów publicznych</t>
  </si>
  <si>
    <t>2560</t>
  </si>
  <si>
    <t>Dotacja podmiotowa z budżetu dla samodzielnego publicznego zakładu opieki zdrowotnej utworzonego przez jednostkę samorządu terytorialnego</t>
  </si>
  <si>
    <t>85119</t>
  </si>
  <si>
    <t>Leczenie sanatoryjno - klimatyczne</t>
  </si>
  <si>
    <t>Wydatki na zakup i objęcie akcji i udziałów</t>
  </si>
  <si>
    <t>85120</t>
  </si>
  <si>
    <t>85121</t>
  </si>
  <si>
    <t>Lecznictwo ambulatoryjne</t>
  </si>
  <si>
    <t>85141</t>
  </si>
  <si>
    <t>85148</t>
  </si>
  <si>
    <t>Medycyna pracy</t>
  </si>
  <si>
    <t>Zwalczanie narkomanii</t>
  </si>
  <si>
    <t>Przeciwdziałanie alkoholizmowi</t>
  </si>
  <si>
    <t>85156</t>
  </si>
  <si>
    <t>4130</t>
  </si>
  <si>
    <t>Składki na ubezpieczenie zdrowotne</t>
  </si>
  <si>
    <t>85195</t>
  </si>
  <si>
    <t>Pomoc społeczna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</si>
  <si>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</si>
  <si>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85214</t>
  </si>
  <si>
    <t>Zasiłki okresowe, celowe i pomoc w naturze oraz składki na ubezpieczenia emerytalne i rentowe</t>
  </si>
  <si>
    <t>Powiatowe centra pomocy rodzinie</t>
  </si>
  <si>
    <t>Ośrodki pomocy społecznej</t>
  </si>
  <si>
    <t>85232</t>
  </si>
  <si>
    <t>Centra integracji społecznej</t>
  </si>
  <si>
    <t>85295</t>
  </si>
  <si>
    <t>3037</t>
  </si>
  <si>
    <t>4277</t>
  </si>
  <si>
    <t>4287</t>
  </si>
  <si>
    <t>4407</t>
  </si>
  <si>
    <t>4447</t>
  </si>
  <si>
    <t>4449</t>
  </si>
  <si>
    <t>4487</t>
  </si>
  <si>
    <t>4489</t>
  </si>
  <si>
    <t>4527</t>
  </si>
  <si>
    <t>Pozostałe zadania w zakresie polityki społecznej</t>
  </si>
  <si>
    <t>Rehabilitacja zawodowa i społeczna osób niepełnosprawnych</t>
  </si>
  <si>
    <t>2570</t>
  </si>
  <si>
    <t>Dotacja podmiotowa z budżetu dla pozostałych jednostek sektora finansów publicznych</t>
  </si>
  <si>
    <t>2580</t>
  </si>
  <si>
    <t>Dotacja podmiotowa z budżetu dla jednostek niezaliczanych do sektora finansów publicznych</t>
  </si>
  <si>
    <t>6190</t>
  </si>
  <si>
    <t>Dotacje celowe z budżetu jednostki samorządu terytorialnego, udzielone w trybie art. 221 ustawy, na dofinansowanie inwestycji w ramach zadań zleconych do realizacji organizacjom prowadzącym działalność pożytku publicznego</t>
  </si>
  <si>
    <t>85332</t>
  </si>
  <si>
    <t>Wojewódzkie urzędy pracy</t>
  </si>
  <si>
    <t>85395</t>
  </si>
  <si>
    <t>Edukacyjna opieka wychowawcza</t>
  </si>
  <si>
    <t>85410</t>
  </si>
  <si>
    <t>Internaty i bursy szkolne</t>
  </si>
  <si>
    <t>Opłaty na rzecz budżetów jednostek budżetowych</t>
  </si>
  <si>
    <t>85416</t>
  </si>
  <si>
    <t>Pomoc materialna dla uczniów o charakterze motywacyjnym</t>
  </si>
  <si>
    <t>Młodzieżowe ośrodki wychowawcze</t>
  </si>
  <si>
    <t>Rodzina</t>
  </si>
  <si>
    <t>85503</t>
  </si>
  <si>
    <t>Karta Dużej Rodziny</t>
  </si>
  <si>
    <t xml:space="preserve">dotacje na zadania bieżące </t>
  </si>
  <si>
    <t>85509</t>
  </si>
  <si>
    <t>Działalność placówek opiekuńczo-wychowawczych</t>
  </si>
  <si>
    <t>Gospodarka komunalna i ochrona środowiska</t>
  </si>
  <si>
    <t>90002</t>
  </si>
  <si>
    <t>90004</t>
  </si>
  <si>
    <t>Utrzymanie zieleni w miastach i gminach</t>
  </si>
  <si>
    <t>90007</t>
  </si>
  <si>
    <t>90015</t>
  </si>
  <si>
    <t>Oświetlenie ulic, placów i dróg</t>
  </si>
  <si>
    <t>90019</t>
  </si>
  <si>
    <t>90020</t>
  </si>
  <si>
    <t>90024</t>
  </si>
  <si>
    <t>Wpływy i wydatki związane z wprowadzeniem do obrotu baterii i akumulatorów</t>
  </si>
  <si>
    <t>90095</t>
  </si>
  <si>
    <t>Kultura i ochrona dziedzictwa narodowego</t>
  </si>
  <si>
    <t>Pozostałe zadania w zakresie kultury</t>
  </si>
  <si>
    <t>92106</t>
  </si>
  <si>
    <t xml:space="preserve">Teatry </t>
  </si>
  <si>
    <t>2480</t>
  </si>
  <si>
    <t>Dotacja podmiotowa z budżetu dla samorządowej instytucji kultury</t>
  </si>
  <si>
    <t>2800</t>
  </si>
  <si>
    <t>Dotacja celowa z budżetu dla pozostałych jednostek zaliczanych do sektora finansów publicznych</t>
  </si>
  <si>
    <t>92108</t>
  </si>
  <si>
    <t>92109</t>
  </si>
  <si>
    <t>6229</t>
  </si>
  <si>
    <t>Zwrot niewykorzystanych dotacji oraz płatności, dotyczące wydatków majątkowych</t>
  </si>
  <si>
    <t>92110</t>
  </si>
  <si>
    <t>Galerie i biura wystaw artystycznych</t>
  </si>
  <si>
    <t>92114</t>
  </si>
  <si>
    <t>Pozostałe instytucje kultury</t>
  </si>
  <si>
    <t>92116</t>
  </si>
  <si>
    <t>Biblioteki</t>
  </si>
  <si>
    <t>92118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</si>
  <si>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</si>
  <si>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</si>
  <si>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</si>
  <si>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2730</t>
  </si>
  <si>
    <t>Dotacje celowe otrzymane z budżetu przez użytkowników zabytków niebędących jednostkami budżetowymi na finansowanie i dofinansowanie prac remontowych i konserwatorskich przy tych zabytkach</t>
  </si>
  <si>
    <t>92195</t>
  </si>
  <si>
    <t>Ogrody botaniczne i zoologiczne oraz naturalne obszary i obiekty chronionej przyrody</t>
  </si>
  <si>
    <t>92502</t>
  </si>
  <si>
    <t>Kultura fizyczna</t>
  </si>
  <si>
    <t>Zadania w zakresie kultury fizycznej</t>
  </si>
  <si>
    <t>dotacje  na zadania bieżące:</t>
  </si>
  <si>
    <t>2820</t>
  </si>
  <si>
    <t>Dotacja celowa z budżetu na finansowanie lub dofinansowanie zadań zleconych do realizacji stowarzyszeniom</t>
  </si>
  <si>
    <t>92695</t>
  </si>
  <si>
    <t>Razem:</t>
  </si>
  <si>
    <t>I. Wydatki bieżące, w tym:</t>
  </si>
  <si>
    <t>1. Wydatki jednostek budżetowych, z tego:</t>
  </si>
  <si>
    <t xml:space="preserve">    - wynagrodzenia i składki od nich naliczane</t>
  </si>
  <si>
    <t xml:space="preserve">    - wydatki związane z realizacją ich statutowych zadań</t>
  </si>
  <si>
    <t>2. Dotacje na zadania bieżące</t>
  </si>
  <si>
    <t>3. Świadczenia na rzecz osób fizycznych</t>
  </si>
  <si>
    <t>4. Wydatki na programy finansowane z udziałem środków UE i źródeł zagranicznych</t>
  </si>
  <si>
    <t>5. Wypłaty z tytułu poręczeń i gwarancji</t>
  </si>
  <si>
    <t>6. Obsługa długu JST</t>
  </si>
  <si>
    <t>II. Wydatki majątkowe, w tym:</t>
  </si>
  <si>
    <t>1. Inwestycje i zakupy inwestycyjne, z tego:</t>
  </si>
  <si>
    <t xml:space="preserve">   - na programy finansowane z udziałem środków UE i źródeł zagranicznych</t>
  </si>
  <si>
    <t>2. Zakup i objęcie akcji i udziałów</t>
  </si>
  <si>
    <t>3. Wniesienie wkładów do spółek prawa handlowego</t>
  </si>
  <si>
    <t xml:space="preserve">Dotacje celowe z budżetu jednostki samorządu terytorialnego, udzielone w trybie art. 221 ustawy, na dofinansowanie inwestycji w ramach zadań zleconych do realizacji organizacjom prowadzącym działalność pożytku publicznego </t>
  </si>
  <si>
    <t>92501</t>
  </si>
  <si>
    <t>Parki narodowe</t>
  </si>
  <si>
    <t xml:space="preserve"> WYKAZ DOTACJI  PRZEDMIOTOWYCH DLA JEDNOSTEK SPOZA SEKTORA FINANSÓW PUBLICZNYCH</t>
  </si>
  <si>
    <t xml:space="preserve">w  tym :  </t>
  </si>
  <si>
    <t xml:space="preserve">Krajowe pasażerskie przewozy autobusowe </t>
  </si>
  <si>
    <t>Dopłaty do krajowych autobusowych przewozów pasażerskich z tytułu stosowania w tych przewozach ustawowych ulg</t>
  </si>
  <si>
    <t>.</t>
  </si>
  <si>
    <t xml:space="preserve">WYKAZ DOTACJI CELOWYCH NA ZADANIA POWIERZONE DO REALIZACJI 
INNYM JEDNOSTKOM SAMORZĄDU TERYTORIALNEGO </t>
  </si>
  <si>
    <t>Województwo Warmińsko-Mazurskie</t>
  </si>
  <si>
    <t>Realizacja  porozumienia dotyczącego dofinansowania zadań związanych z funkcjonowaniem Domu Polski Wschodniej w Brukseli</t>
  </si>
  <si>
    <t xml:space="preserve">ZESTAWIENIE  DOCHODÓW  I  WYDATKÓW  ZWIĄZANYCH  
Z  REALIZACJĄ  ZADAŃ  WSPÓLNYCH  REALIZOWANYCH  NA  PODSTAWIE 
POROZUMIEŃ  MIĘDZY  JEDNOSTKAMI  SAMORZĄDU  TERYTORIALNEGO </t>
  </si>
  <si>
    <t xml:space="preserve">DOCHODY Z TYTUŁU DOTACJI OTRZYMANYCH NA PODSTAWIE POROZUMIEŃ 
Z JEDNOSTKAMI SAMORZĄDU TERYTORIALNEGO  </t>
  </si>
  <si>
    <t xml:space="preserve">Rozdział </t>
  </si>
  <si>
    <t>Kwota</t>
  </si>
  <si>
    <t xml:space="preserve">WYDATKI  NA  ZADANIA  REALIZOWANE  NA  PODSTAWIE  POROZUMIEŃ  
Z  JEDNOSTKAMI  SAMORZĄDU  TERYTORIALNEGO  </t>
  </si>
  <si>
    <t>Wydatki 
OGÓŁEM</t>
  </si>
  <si>
    <t>Wydatki 
bieżące</t>
  </si>
  <si>
    <t>Wydatki 
majątkowe</t>
  </si>
  <si>
    <t>wynagrodzenia 
i składki od nich naliczane</t>
  </si>
  <si>
    <t>pozostałe 
wydatki bieżące</t>
  </si>
  <si>
    <t>KULTURA I OCHRONA 
DZIEDZICTWA NARODOWEGO</t>
  </si>
  <si>
    <t>PODZIAŁ DOTACJI CELOWYCH NA REALIZACJĘ 
PROGRAMU OPERACYJNEGO WIEDZA, EDUKACJA, ROZWÓJ NA LATA 2014-2020</t>
  </si>
  <si>
    <t>Kwota ogółem</t>
  </si>
  <si>
    <t>dotacja dla partnerów projektu Regionalnego Ośrodka Polityki Społecznej w Rzeszowie pn. "Liderzy kooperacji"</t>
  </si>
  <si>
    <t>dotacja dla partnerów projektu Regionalnego Ośrodka Polityki Społecznej w Rzeszowie pn. "Bliżej Rodziny - szkolenia dla kadr systemu wspierania rodziny i pieczy zastępczej"</t>
  </si>
  <si>
    <t>dotacja celowa dla beneficjentów realizujących projekty w ramach POWER na lata 2014-2020</t>
  </si>
  <si>
    <t>PODZIAŁ DOTACJI CELOWYCH NA REALIZACJĘ 
REGIONALNEGO PROGRAMU OPERACYJNEGO WOJEWÓDZTWA PODKARPACKIEGO NA LATA 2014-2020</t>
  </si>
  <si>
    <t>dotacja dla partnerów projektu Urzędu Marszałkowskiego Województwa Podkarpackiego w Rzeszowie pn. "Podkarpacki System Informacji Przestrzennej (PSIP)"</t>
  </si>
  <si>
    <t>dotacja celowa dla beneficjentów realizujących projekty w ramach RPO WP na lata 2014-2020</t>
  </si>
  <si>
    <t>dotacja dla Wojewódzkiego Domu Kultury w Rzeszowie na realizację projektu pn. "Utworzenie podkarpackiego centrum nauki"</t>
  </si>
  <si>
    <t>dotacja dla partnera i odbiorców ostatecznych projektu Urzędu Marszałkowskiego Województwa Podkarpackiego w Rzeszowie pn. "Podkarpacka Platforma Wsparcia Biznesu"</t>
  </si>
  <si>
    <t>ZESTAWIENIE  DOCHODÓW  I  WYDATKÓW  ZWIĄZANYCH  
Z  REALIZACJĄ  ZADAŃ  Z  ZAKRESU  ADMINISTRACJI  RZĄDOWEJ  
ORAZ  INNYCH  ZADAŃ  ZLECONYCH  SAMORZĄDOWI 
WOJEWÓDZTWA  PODKARPACKIEGO USTAWAMI</t>
  </si>
  <si>
    <t>DOCHODY Z TYTUŁU PRZYZNANYCH Z BUDŻETU PAŃSTWA DOTACJI 
NA REALIZACJĘ ZADAŃ Z ZAKRESU ADMINISTRACJI RZĄDOWEJ</t>
  </si>
  <si>
    <t>OCHRONA  ZDROWIA</t>
  </si>
  <si>
    <t>Składki na ubezpieczenie zdrowotne oraz świadczenia 
dla osób nieobjętych obowiązkiem ubezpieczenia zdrowotnego</t>
  </si>
  <si>
    <t xml:space="preserve">Działalność ośrodków adopcyjnych </t>
  </si>
  <si>
    <t xml:space="preserve">WYDATKI  NA  ZADANIA  Z  ZAKRESU  ADMINISTRACJI  RZĄDOWEJ                                                                                                                                                                                         </t>
  </si>
  <si>
    <t xml:space="preserve">    w złotych</t>
  </si>
  <si>
    <t>z tego:</t>
  </si>
  <si>
    <t>Wydatki jednostek budżetowych</t>
  </si>
  <si>
    <t>Dotacje na zadania bieżące</t>
  </si>
  <si>
    <t>Świadczenia na rzecz osób fizycznych</t>
  </si>
  <si>
    <t>wynagro-
dzenia i 
składki od nich naliczane</t>
  </si>
  <si>
    <t>wydatki związane z realizacją ich statutowych zadań</t>
  </si>
  <si>
    <t>razem</t>
  </si>
  <si>
    <t>Zadania z zakresu geodezji 
i kartografii</t>
  </si>
  <si>
    <t>Działaność ośrodków adopcyjnych</t>
  </si>
  <si>
    <t xml:space="preserve">PLAN  DOCHODÓW  PODLEGAJĄCYCH  PRZEKAZANIU  DO  BUDŻETU  PAŃSTWA ORAZ STANOWIĄCYCH DOCHÓD BUDŻETU WOJEWÓDZTWA ZWIĄZANYCH  Z  REALIZACJĄ  ZADAŃ  
Z  ZAKRESU  ADMINISTRACJI  RZĄDOWEJ </t>
  </si>
  <si>
    <t>Dochody
OGÓŁEM</t>
  </si>
  <si>
    <t>w tym: podlegające przekazaniu</t>
  </si>
  <si>
    <t xml:space="preserve">do budżetu państwa </t>
  </si>
  <si>
    <t>do budżetu samorządu</t>
  </si>
  <si>
    <t>DZIAŁANOŚĆ USŁUGOWA</t>
  </si>
  <si>
    <t>71005</t>
  </si>
  <si>
    <t xml:space="preserve">PLAN DOCHODÓW GROMADZONYCH NA WYODRĘBNIONYM RACHUNKU PRZEZ WOJEWÓDZKIE OŚWIATOWE JEDNOSTKI BUDŻETOWE, 
ORAZ WYDATKÓW NIMI FINANSOWANYCH 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</si>
  <si>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</si>
  <si>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</si>
  <si>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</si>
  <si>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</si>
  <si>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</si>
  <si>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</si>
  <si>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</si>
  <si>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</si>
  <si>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</si>
  <si>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</si>
  <si>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</si>
  <si>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</si>
  <si>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</si>
  <si>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</si>
  <si>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</si>
  <si>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</si>
  <si>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</si>
  <si>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</si>
  <si>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</si>
  <si>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</si>
  <si>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</si>
  <si>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</si>
  <si>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</si>
  <si>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</si>
  <si>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Realizacja zadań inwestycyjnych pn.: 
1) wkład własny do zadania pn. Dawny przemysł wiejski - Młynarstwo. Siła wiatru i wody. Modernizacja wystawy stałej - 
29.200,-zł,
2) wkład własny do projektu pn. "Restauracja dworu z Brzezin w Parku Etnograficznym Muzeum Kultury Ludowej w Kolbuszowej" - 595.444,-zł,
3) "Budowa założenia leśnego: zestawienie do stanu surowego zamkniętego stodoły z Leżajska i budowa pieców w leśniczówce Zerwanki" - 327.500,-zł.</t>
  </si>
  <si>
    <t xml:space="preserve"> Plan wydatków budżetu Województwa Podkarpackiego na 2019r. -  
na zadania realizowane w ramach programów finansowanych z udziałem środków,
o których mowa w art. 5 ust. 1 pkt 2 i 3, ustawy o finansach publicznych 
(wg działów, rozdziałów, paragrafów i rodzajów wydatków)</t>
  </si>
  <si>
    <t>Jednostka realizująca / Nazwa zadania / Program</t>
  </si>
  <si>
    <t>Kwota ogółem w 2019r.</t>
  </si>
  <si>
    <t>budżet województwa</t>
  </si>
  <si>
    <t>środki UE</t>
  </si>
  <si>
    <t>budżet państwa</t>
  </si>
  <si>
    <t>inne</t>
  </si>
  <si>
    <t>6.</t>
  </si>
  <si>
    <t>8.</t>
  </si>
  <si>
    <t>9.</t>
  </si>
  <si>
    <t>10.</t>
  </si>
  <si>
    <t>I</t>
  </si>
  <si>
    <t>URZĄD MARSZAŁKOWSKI WOJEWÓDZTWA PODKARPACKIEGO W RZESZOWIE</t>
  </si>
  <si>
    <t>1</t>
  </si>
  <si>
    <r>
      <t xml:space="preserve">Dotacja celowa na rzecz beneficjentów osi priorytetowych I-VI RPO WP na lata 2014-2020 realizujących projekty o charakterze rewitalizacyjnym
</t>
    </r>
    <r>
      <rPr>
        <sz val="9"/>
        <rFont val="Arial"/>
        <family val="2"/>
        <charset val="238"/>
      </rPr>
      <t>Regionalny Program Operacyjny Województwa Podkarpackiego na lata 2014-2020
(Departament Zarządzania Regionalnym Programem Operacyjnym)</t>
    </r>
  </si>
  <si>
    <t>OGÓŁEM
z tego:</t>
  </si>
  <si>
    <t>wydatki majątkowe</t>
  </si>
  <si>
    <t>2</t>
  </si>
  <si>
    <r>
      <t xml:space="preserve">Dotacja celowa na rzecz beneficjentów osi priorytetowych I-VI RPO WP na lata 2014-2020 realizujących projekty o charakterze innym niż rewitalizacyjny
</t>
    </r>
    <r>
      <rPr>
        <sz val="9"/>
        <rFont val="Arial"/>
        <family val="2"/>
        <charset val="238"/>
      </rPr>
      <t>Regionalny Program Operacyjny Województwa Podkarpackiego na lata 2014-2020
(Departament Zarządzania Regionalnym Programem Operacyjnym)</t>
    </r>
  </si>
  <si>
    <t>3</t>
  </si>
  <si>
    <r>
      <rPr>
        <i/>
        <sz val="9"/>
        <rFont val="Arial"/>
        <family val="2"/>
        <charset val="238"/>
      </rPr>
      <t>Wsparcie procesu wdrażania RPO WP 2014-2020 poprzez działania o charakterze edukacyjno-promocyjnym i procedurę odwoławczą w 2019 roku</t>
    </r>
    <r>
      <rPr>
        <sz val="9"/>
        <rFont val="Arial"/>
        <family val="2"/>
        <charset val="238"/>
      </rPr>
      <t xml:space="preserve">
Pomoc Techniczna - Regionalny Program Operacyjny Województwa Podkarpackiego na lata 2014-2020
(Departament Zarządzania Regionalnym Programem Operacyjnym)</t>
    </r>
  </si>
  <si>
    <t>wydatki bieżące,
w tym:</t>
  </si>
  <si>
    <t>wynagrodzenia wraz z pochodnymi</t>
  </si>
  <si>
    <t>pozostałe wydatki bieżące</t>
  </si>
  <si>
    <t>4</t>
  </si>
  <si>
    <r>
      <t>Wsparcie procesu ewaluacji RPO WP 2014-2020</t>
    </r>
    <r>
      <rPr>
        <sz val="9"/>
        <rFont val="Arial"/>
        <family val="2"/>
        <charset val="238"/>
      </rPr>
      <t xml:space="preserve">
Pomoc Techniczna - Regionalny Program Operacyjny Województwa Podkarpackiego na lata 2014-2020
(Departament Zarządzania Regionalnym Programem Operacyjnym)</t>
    </r>
  </si>
  <si>
    <t>5</t>
  </si>
  <si>
    <r>
      <t>Obsługa funkcjonowania Komitetu Monitorującego Regionalny Program Operacyjny Województwa Podkarpackiego na lata 2014-2020 w 2019 roku</t>
    </r>
    <r>
      <rPr>
        <sz val="9"/>
        <rFont val="Arial"/>
        <family val="2"/>
        <charset val="238"/>
      </rPr>
      <t xml:space="preserve">
Pomoc Techniczna - Regionalny Program Operacyjny Województwa Podkarpackiego na lata 2014-2020
(Departament Zarządzania Regionalnym Programem Operacyjnym)</t>
    </r>
  </si>
  <si>
    <t>6</t>
  </si>
  <si>
    <r>
      <rPr>
        <i/>
        <sz val="9"/>
        <rFont val="Arial"/>
        <family val="2"/>
        <charset val="238"/>
      </rPr>
      <t>Zatrudnienie pracowników UMWP w Rzeszowie zaangażowanych w realizację RPO WP w 2019 roku</t>
    </r>
    <r>
      <rPr>
        <sz val="9"/>
        <rFont val="Arial"/>
        <family val="2"/>
        <charset val="238"/>
      </rPr>
      <t xml:space="preserve">
Pomoc Techniczna - Regionalny Program Operacyjny Województwa Podkarpackiego na lata 2014-2020
(Departament Organizacyjno- Prawny)</t>
    </r>
  </si>
  <si>
    <t>7</t>
  </si>
  <si>
    <r>
      <t xml:space="preserve">Wsparcie UMWP w Rzeszowie w związku z realizacją RPO WP w 2019 roku
</t>
    </r>
    <r>
      <rPr>
        <sz val="9"/>
        <rFont val="Arial"/>
        <family val="2"/>
        <charset val="238"/>
      </rPr>
      <t>Pomoc Techniczna - Regionalny Program Operacyjny Województwa Podkarpackiego na lata 2014-2020
(Departament Organizacyjno- Prawny)</t>
    </r>
  </si>
  <si>
    <t>8</t>
  </si>
  <si>
    <r>
      <t xml:space="preserve">Dostawa, wdrożenie i utrzymanie Lokalnego Systemu Informatycznego służącego do obsługi RPO WP na lata 2014-2020 na potrzeby Urzędu Marszałkowskiego Województwa Podkarpackiego w Rzeszowie
</t>
    </r>
    <r>
      <rPr>
        <sz val="9"/>
        <rFont val="Arial"/>
        <family val="2"/>
        <charset val="238"/>
      </rPr>
      <t>Pomoc Techniczna - Regionalny Program Operacyjny Województwa Podkarpackiego na lata 2014-2020
(Departament Organizacyjno - Prawny)</t>
    </r>
  </si>
  <si>
    <t>9</t>
  </si>
  <si>
    <r>
      <t xml:space="preserve">Wsparcie działalności Regionalnego Obserwatorium Terytorialnego w procesie dostarczania niezbędnej wiedzy do zarządzania rozwojem regionu w 2019 roku
</t>
    </r>
    <r>
      <rPr>
        <sz val="9"/>
        <rFont val="Arial"/>
        <family val="2"/>
        <charset val="238"/>
      </rPr>
      <t>Pomoc Techniczna - Regionalny Program Operacyjny Województwa Podkarpackiego na lata 2014-2020
(Departament Rozwoju Regionalnego)</t>
    </r>
  </si>
  <si>
    <t>10</t>
  </si>
  <si>
    <r>
      <t xml:space="preserve">Podkarpacka Platforma Wsparcia Biznesu
</t>
    </r>
    <r>
      <rPr>
        <sz val="9"/>
        <rFont val="Arial"/>
        <family val="2"/>
        <charset val="238"/>
      </rPr>
      <t>Regionalny Program Operacyjny Województwa Podkarpackiego na lata 2014-2020
(Departament Rozwoju Regionalnego)</t>
    </r>
  </si>
  <si>
    <t>dotacje dla partnerów</t>
  </si>
  <si>
    <t>dotacje dla odbiorców ostatecznych</t>
  </si>
  <si>
    <t>11</t>
  </si>
  <si>
    <r>
      <t xml:space="preserve">Zakup taboru kolejowego do wykonywania przewozów pasażerskich na terenie Województwa Podkarpackiego
</t>
    </r>
    <r>
      <rPr>
        <sz val="9"/>
        <color rgb="FFFF0000"/>
        <rFont val="Arial"/>
        <family val="2"/>
        <charset val="238"/>
      </rPr>
      <t>Regionalny Program Operacyjny Województwa Podkarpackiego na lata 2014-2020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Dróg i Publicznego Transportu Zbiorowego)</t>
    </r>
  </si>
  <si>
    <r>
      <t xml:space="preserve">Podkarpacki System Informacji Przestrzennej (PSIP)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Społeczeństwa Informacyjnego)</t>
    </r>
  </si>
  <si>
    <t>12</t>
  </si>
  <si>
    <r>
      <t xml:space="preserve">Inteligentne specjalizacje - narzędzie wzrostu innowacyjności i konkurencyjności województwa podkarpackiego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Rozwoju Regionalnego)</t>
    </r>
  </si>
  <si>
    <t>13</t>
  </si>
  <si>
    <r>
      <t xml:space="preserve">Podkarpacki System e-Administracji Publicznej - 2 (PSeAP - 2)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Społeczeństwa Informacyjnego)</t>
    </r>
  </si>
  <si>
    <t>14</t>
  </si>
  <si>
    <r>
      <t xml:space="preserve">Promocja Gospodarcza Województwa Podkarpackiego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Promocji i Współpracy Gospodarczej)</t>
    </r>
  </si>
  <si>
    <t>15</t>
  </si>
  <si>
    <r>
      <t xml:space="preserve">Wsparcie stypendialne uczniów szkół gimnazjalnych i ponadgimnazjalnych prowadzących kształcenie ogólne - rok szkolny 2018/2019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Edukacji, Nauki i Sportu)</t>
    </r>
  </si>
  <si>
    <t>16</t>
  </si>
  <si>
    <r>
      <t xml:space="preserve">Wsparcie stypendialne uczniów ponadgimnazjalnych szkół zawodowych - rok szkolny 2018/2019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Edukacji, Nauki i Sportu)</t>
    </r>
  </si>
  <si>
    <t>18</t>
  </si>
  <si>
    <r>
      <t xml:space="preserve">Wsparcie stypendialne uczniów szkół gimnazjalnych i ponadgimnazjalnych prowadzących kształcenie ogólne - rok szkolny 2019/2020
</t>
    </r>
    <r>
      <rPr>
        <sz val="9"/>
        <color rgb="FFFF0000"/>
        <rFont val="Arial"/>
        <family val="2"/>
        <charset val="238"/>
      </rPr>
      <t>Regionalny Program Operacyjny Województwa Podkarpackiego na lata 2014-2020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Edukacji, Nauki i Sportu)</t>
    </r>
  </si>
  <si>
    <t>19</t>
  </si>
  <si>
    <r>
      <t xml:space="preserve">Wsparcie stypendialne uczniów ponadgimnazjalnych szkół zawodowych - rok szkolny 2019/2020
</t>
    </r>
    <r>
      <rPr>
        <sz val="9"/>
        <color rgb="FFFF0000"/>
        <rFont val="Arial"/>
        <family val="2"/>
        <charset val="238"/>
      </rPr>
      <t>Regionalny Program Operacyjny Województwa Podkarpackiego na lata 2014-2020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Edukacji, Nauki i Sportu)</t>
    </r>
  </si>
  <si>
    <t>17</t>
  </si>
  <si>
    <r>
      <t xml:space="preserve">Utworzenie podkarpackiego centrum nauki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Kultury i Ochrony Dziedzictwa Narodowego - Wojewódzki Dom Kultury w Rzeszowie)</t>
    </r>
  </si>
  <si>
    <r>
      <t xml:space="preserve">Portal Muzeum Dziedzictwa Kresów Dawnej Rzeczypospolitej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Kultury i Ochrony Dziedzictwa Narodowego)</t>
    </r>
  </si>
  <si>
    <r>
      <t xml:space="preserve">Pomoc techniczna
</t>
    </r>
    <r>
      <rPr>
        <sz val="9"/>
        <rFont val="Arial"/>
        <family val="2"/>
        <charset val="238"/>
      </rPr>
      <t>Program Rozwoju Obszarów Wiejskich na lata 2014-2020
(Departament Programów Rozwoju Obszarów Wiejskich)</t>
    </r>
  </si>
  <si>
    <t>20</t>
  </si>
  <si>
    <r>
      <t xml:space="preserve">Pomoc techniczna
</t>
    </r>
    <r>
      <rPr>
        <sz val="9"/>
        <rFont val="Arial"/>
        <family val="2"/>
        <charset val="238"/>
      </rPr>
      <t>Program Operacyjny Rybactwo i Morze na lata 2014-2020
(Departament Programów Rozwoju Obszarów Wiejskich)</t>
    </r>
  </si>
  <si>
    <t>21</t>
  </si>
  <si>
    <r>
      <t xml:space="preserve">Budowa Podmiejskiej Kolei Aglomeracyjnej - PKA: budowa zaplecza technicznego
</t>
    </r>
    <r>
      <rPr>
        <sz val="9"/>
        <rFont val="Arial"/>
        <family val="2"/>
        <charset val="238"/>
      </rPr>
      <t>Program Operacyjny Infrastruktura i Środowisko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Dróg i Publicznego Transportu Zbiorowego)</t>
    </r>
  </si>
  <si>
    <t>22</t>
  </si>
  <si>
    <r>
      <t xml:space="preserve">Żywe laboratorium polityki publicznej
</t>
    </r>
    <r>
      <rPr>
        <sz val="9"/>
        <rFont val="Arial"/>
        <family val="2"/>
        <charset val="238"/>
      </rPr>
      <t>Program Interreg Europa na lata 2014-2020
(Departament Rozwoju Regionalnego)</t>
    </r>
  </si>
  <si>
    <t>23</t>
  </si>
  <si>
    <r>
      <t xml:space="preserve">Zachowanie i promocja dziedzictwa przyrodniczego i kulturowego poprzez Zielone Szlaki
</t>
    </r>
    <r>
      <rPr>
        <sz val="9"/>
        <rFont val="Arial"/>
        <family val="2"/>
        <charset val="238"/>
      </rPr>
      <t>Program Interreg Europa na lata 2014-2020
(Departament Rozwoju Regionalnego)</t>
    </r>
  </si>
  <si>
    <t>24</t>
  </si>
  <si>
    <r>
      <t xml:space="preserve">CRinMA - Cultural Resources in the Mountain Areas
</t>
    </r>
    <r>
      <rPr>
        <sz val="9"/>
        <rFont val="Arial"/>
        <family val="2"/>
        <charset val="238"/>
      </rPr>
      <t>Program Interreg Europa na lata 2014-2020
(Departament Kultury i Ochrony Dziedzictwa Narodowego)</t>
    </r>
  </si>
  <si>
    <t>25</t>
  </si>
  <si>
    <r>
      <t xml:space="preserve">Góry bez granic - integracja sieci szlaków w transgraniczny produkt turystyczny
</t>
    </r>
    <r>
      <rPr>
        <sz val="9"/>
        <rFont val="Arial"/>
        <family val="2"/>
        <charset val="238"/>
      </rPr>
      <t>Program Współpracy Transgranicznej Interreg V-A Polska - Słowacja na lata 2014-2020
(Departament Rozwoju Regionalnego)</t>
    </r>
  </si>
  <si>
    <t>26</t>
  </si>
  <si>
    <r>
      <t xml:space="preserve">Szlak Maryjny (Światło ze Wschodu)
</t>
    </r>
    <r>
      <rPr>
        <sz val="9"/>
        <rFont val="Arial"/>
        <family val="2"/>
        <charset val="238"/>
      </rPr>
      <t>Program Współpracy Transgranicznej Interreg V-A Polska - Słowacja na lata 2014-2020
(Departament Promocji i Współpracy Gospodarczej)</t>
    </r>
  </si>
  <si>
    <t>33</t>
  </si>
  <si>
    <r>
      <t xml:space="preserve">Partnerstwo dla wspólnego rozwoju
Pomoc techniczna - </t>
    </r>
    <r>
      <rPr>
        <sz val="9"/>
        <color rgb="FFFF0000"/>
        <rFont val="Arial"/>
        <family val="2"/>
        <charset val="238"/>
      </rPr>
      <t>Program Współpracy Transgranicznej INTERREG V-A POLSKA - SŁOWACJA na lata 2014-2020
(Departament Promocji i Współpracy Gospodarczej)</t>
    </r>
  </si>
  <si>
    <t>27</t>
  </si>
  <si>
    <r>
      <t xml:space="preserve">Funkcjonowanie Oddziału Programu Współpracy Transgranicznej EIS Polska - Białoruś - Ukraina 2014-2020 w Rzeszowie
</t>
    </r>
    <r>
      <rPr>
        <sz val="9"/>
        <rFont val="Arial"/>
        <family val="2"/>
        <charset val="238"/>
      </rPr>
      <t>Program Współpracy Transgranicznej Polska- Białoruś - Ukraina na lata 2014-2020
(Biuro "Oddział Programu Współpracy Transgranicznej POLSKA-BIAŁORUŚ-UKRAINA 2014-2020 w Rzeszowie")</t>
    </r>
  </si>
  <si>
    <t>28</t>
  </si>
  <si>
    <r>
      <t xml:space="preserve">Świat karpackich rozet - działania na rzecz zachowania kulturowej unikalności Karpat
</t>
    </r>
    <r>
      <rPr>
        <sz val="9"/>
        <rFont val="Arial"/>
        <family val="2"/>
        <charset val="238"/>
      </rPr>
      <t>Program Współpracy Transgranicznej Polska - Białoruś - Ukraina na lata 2014-2020
(Departament Promocji i Współpracy Gospodarczej)</t>
    </r>
  </si>
  <si>
    <t>29</t>
  </si>
  <si>
    <r>
      <t xml:space="preserve">Punkty Informacyjne Funduszy Europejskich
</t>
    </r>
    <r>
      <rPr>
        <sz val="9"/>
        <rFont val="Arial"/>
        <family val="2"/>
        <charset val="238"/>
      </rPr>
      <t>Program Operacyjny Pomoc Techniczna na lata 2014-2020
(Biuro Informacji o Funduszach Europejskich)</t>
    </r>
  </si>
  <si>
    <t>30</t>
  </si>
  <si>
    <r>
      <t xml:space="preserve">Kondycja społeczno - gospodarcza rodzin z uwzględnieniem zjawiska depopulacji
</t>
    </r>
    <r>
      <rPr>
        <sz val="9"/>
        <rFont val="Arial"/>
        <family val="2"/>
        <charset val="238"/>
      </rPr>
      <t>Program Operacyjny Pomoc Techniczna na lata 2014-2020
(Departament Rozwoju Regionalnego)</t>
    </r>
  </si>
  <si>
    <t>dotacje dla beneficjentów</t>
  </si>
  <si>
    <t>II</t>
  </si>
  <si>
    <t>PODKARPACKI ZARZĄD DRÓG WOJEWÓDZKICH W RZESZOWIE</t>
  </si>
  <si>
    <r>
      <t xml:space="preserve">Budowa drogi wojewódzkiej nr 835 Lublin - Przeworsk - Grabownica Starzeńska na odcinku od węzła A4 "Przeworsk" do drogi krajowej 94 (Gwizdaj)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</si>
  <si>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Przebudowa/ rozbudowa drogi wojewódzkiej nr 835 Lublin–Przeworsk–Grabownica Starzeńska na odcinku od skrzyżowania z drogą wojewódzką nr 870 w m. Sieniawa do łącznika drogi  wojewódzkiej z węzłem „Przeworsk” w miejscowości Gorliczyna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</si>
  <si>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drogi wojewódzkiej nr 886 na odcinku pomiędzy planowaną obwodnicą miasta Sanoka a drogą krajową nr 28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</si>
  <si>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Przebudowa/rozbudowa drogi wojewódzkiej nr 988 Babica–Strzyżów–Warzyce na odcinku od m. Zaborów do początku obwodnicy m. Strzyżów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</si>
  <si>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obwodnicy m. Kolbuszowa i Werynia w ciągu drogi wojewódzkiej nr 875 Mielec–Leżajsk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</si>
  <si>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obwodnicy m. Dynów w ciągu drogi wojewódzkiej nr 835 Lublin–Przeworsk–Grabownica Starzeńska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</si>
  <si>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drogi wojewódzkiej Nr 992 Jasło– Granica Państwa na odcinku pomiędzy drogą krajową Nr 28 a drogą krajową Nr 73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</si>
  <si>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obwodnicy m. Lubaczów w ciągu drogi wojewódzkiej nr 866 Dachnów - Lubaczów- Granica Państwa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</si>
  <si>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Przebudowa/rozbudowa drogi wojewódzkiej nr 861 Bojanów–Jeżowe–Kopki na odcinku od skrzyżowania drogi krajowej 19 w m. Jeżowe do węzła S-19 Podgórze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</si>
  <si>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Przebudowa/rozbudowa drogi wojewódzkiej nr 881 na odcinku Kańczuga - Pruchnik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</si>
  <si>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Budowa/przebudowa drogi wojewódzkiej nr 835 Lublin-Przeworsk-Grabownica Starzeńska na odcinku od DK 4 do miasta Kańczuga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</si>
  <si>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Rozbudowa drogi wojewódzkiej nr 881 Sokołów Małopolski - Łańcut - Kańczuga - Żurawica na odcinku Czarna - Łańcut wraz z budową mostu na rzece Wisłok i Mikośka + ul. Kraszewskiego w Łańcucie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</si>
  <si>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Przebudowa/rozbudowa drogi wojewódzkiej nr 875 Mielec - Kolbuszowa - Leżajsk od końca obwodnicy m. Werynia do początku obwodnicy m. Sokołów Małopolski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</si>
  <si>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obwodnicy m. Strzyżów w ciągu drogi wojewódzkiej Nr 988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</si>
  <si>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nowego odcinka drogi wojewódzkiej nr 984 od m. Piątkowiec przez m. Rzędzianowice do ul. Sienkiewicza w Mielcu wraz z budową mostu na rzece Wisłoka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</si>
  <si>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drogi wojewódzkiej Nr 987 na odcinku od DK 94 przez ul. Księżomost do DP 1334 R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</si>
  <si>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obwodnicy m. Radomyśl Wielki w ciągu DW 984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</si>
  <si>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obwodnicy m. Kolbuszowa w ciągu DW 987 Kolbuszowa - Sędziszów Młp.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</si>
  <si>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DW nr 858 Zarzecze - granica województwa na odcinku Dąbrowica - Sieraków + budowa mostu na rzece Tanew i mostu na rzece Borowina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</si>
  <si>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Przebudowa/rozbudowa drogi wojewódzkiej nr 865 Jarosław-Bełżec na odcinku od m. Zapałów do m. Oleszyce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</si>
  <si>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Przebudowa/rozbudowa DW 895 na odcinku Solina-Myczków i DW 894 na odcinku Hoczew-Polańczyk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</si>
  <si>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Rozbudowa i budowa DW Nr 988 na odcinku Babica-Zaborów wraz z budową obwodnicy Czudca
</t>
    </r>
    <r>
      <rPr>
        <sz val="9"/>
        <rFont val="Arial"/>
        <family val="2"/>
        <charset val="238"/>
      </rPr>
      <t>Program Operacyjny Polska Wschodnia na lata 2014-2020</t>
    </r>
  </si>
  <si>
    <r>
      <t xml:space="preserve">Budowa nowego odcinka drogi wojewódzkiej nr 992 w miejscowości Jasło
</t>
    </r>
    <r>
      <rPr>
        <sz val="9"/>
        <rFont val="Arial"/>
        <family val="2"/>
        <charset val="238"/>
      </rPr>
      <t>Program Współpracy Transgranicznej Interreg V-A Polska - Słowacja na lata 2014-2020</t>
    </r>
  </si>
  <si>
    <r>
      <t xml:space="preserve">Rozbudowa drogi wojewódzkiej nr 885 Przemyśl - Hermanowice - Granica Państwa
</t>
    </r>
    <r>
      <rPr>
        <sz val="9"/>
        <rFont val="Arial"/>
        <family val="2"/>
        <charset val="238"/>
      </rPr>
      <t>Program Współpracy Transgranicznej Polska - Białoruś - Ukraina na lata 2014-2020</t>
    </r>
  </si>
  <si>
    <r>
      <t xml:space="preserve">Rozbudowa drogi wojewódzkiej nr 867 na odcinku Lubaczów - Basznia Górna
</t>
    </r>
    <r>
      <rPr>
        <sz val="9"/>
        <rFont val="Arial"/>
        <family val="2"/>
        <charset val="238"/>
      </rPr>
      <t>Program Współpracy Transgranicznej Polska - Białoruś - Ukraina na lata 2014-2020</t>
    </r>
  </si>
  <si>
    <r>
      <t xml:space="preserve">Rozbudowa drogi wojewódzkiej nr 867 na odcinku Basznia Górna - Horyniec Zdrój
</t>
    </r>
    <r>
      <rPr>
        <sz val="9"/>
        <rFont val="Arial"/>
        <family val="2"/>
        <charset val="238"/>
      </rPr>
      <t>Program Współpracy Transgranicznej Polska - Białoruś - Ukraina na lata 2014-2020</t>
    </r>
  </si>
  <si>
    <r>
      <t xml:space="preserve">Przebudowa drogi wojewódzkiej nr 867 od km 37+142 do km 37+810 (ul. Wyszyńskiego w Lubaczowie)
</t>
    </r>
    <r>
      <rPr>
        <sz val="9"/>
        <rFont val="Arial"/>
        <family val="2"/>
        <charset val="238"/>
      </rPr>
      <t>Program Współpracy Transgranicznej Polska - Białoruś - Ukraina na lata 2014-2020</t>
    </r>
  </si>
  <si>
    <t>III</t>
  </si>
  <si>
    <t>ZESPÓŁ KARPACKICH PARKÓW KRAJOBRAZOWYCH W KROŚNIE</t>
  </si>
  <si>
    <r>
      <t xml:space="preserve">Opracowanie dokumentacji na potrzeby planów ochrony dla pięciu Parków Krajobrazowych: Jaśliskiego, Ciśniańsko - Wetlińskiego, Doliny Sanu, Czarnorzecko - Strzyżowskiego i Pasma Brzanki
</t>
    </r>
    <r>
      <rPr>
        <sz val="9"/>
        <rFont val="Arial"/>
        <family val="2"/>
        <charset val="238"/>
      </rPr>
      <t>Regionalny Program Operacyjny Województwa Podkarpackiego na lata 2014-2020</t>
    </r>
  </si>
  <si>
    <t>IV</t>
  </si>
  <si>
    <t>WOJEWÓDZKI OŚRODEK DOKUMENTACJI GEODEZYJNEJ I KARTOGRAFICZNEJ W RZESZOWIE</t>
  </si>
  <si>
    <r>
      <t xml:space="preserve">Podkarpacki System Informacji Przestrzennej (PSIP)
</t>
    </r>
    <r>
      <rPr>
        <sz val="9"/>
        <rFont val="Arial"/>
        <family val="2"/>
        <charset val="238"/>
      </rPr>
      <t>Regionalny Program Operacyjny Województwa Podkarpackiego na lata 2014-2020</t>
    </r>
  </si>
  <si>
    <t>V</t>
  </si>
  <si>
    <t>WOJEWÓDZKI URZĄD PRACY W RZESZOWIE</t>
  </si>
  <si>
    <r>
      <t xml:space="preserve">Dotacja celowa dla beneficjentów realizujących projekty w ramach osi I
</t>
    </r>
    <r>
      <rPr>
        <sz val="9"/>
        <rFont val="Arial"/>
        <family val="2"/>
        <charset val="238"/>
      </rPr>
      <t>Program Operacyjny Wiedza Edukacja Rozwój na lata 2014-2020</t>
    </r>
  </si>
  <si>
    <r>
      <t xml:space="preserve">Dotacja celowa dla beneficjentów realizujących projekty w ramach osi VII - IX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</si>
  <si>
    <r>
      <t xml:space="preserve">Pomoc techniczna
</t>
    </r>
    <r>
      <rPr>
        <sz val="9"/>
        <rFont val="Arial"/>
        <family val="2"/>
        <charset val="238"/>
      </rPr>
      <t>Program Operacyjny Wiedza, Edukacja, Rozwój na lata 2014-2020</t>
    </r>
  </si>
  <si>
    <r>
      <t xml:space="preserve">Pomoc techniczna RPO WP na lata 2014-2020 dla Wojewódzkiego Urzędu Pracy w Rzeszowie na rok 2019
</t>
    </r>
    <r>
      <rPr>
        <sz val="9"/>
        <rFont val="Arial"/>
        <family val="2"/>
        <charset val="238"/>
      </rPr>
      <t>Pomoc Techniczna - Regionalny Program Operacyjny Województwa Podkarpackiego na lata 2014-2020</t>
    </r>
  </si>
  <si>
    <t>VI</t>
  </si>
  <si>
    <t>REGIONALNY OŚRODEK POLITYKI SPOŁECZNEJ W RZESZOWIE</t>
  </si>
  <si>
    <r>
      <t xml:space="preserve">Koordynacja sektora ekonomii społecznej w województwie podkarpackim w latach 2018-2019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</si>
  <si>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Bliżej Rodziny - szkolenia dla kadr systemu wspierania rodziny i pieczy zastępczej
</t>
    </r>
    <r>
      <rPr>
        <sz val="9"/>
        <rFont val="Arial"/>
        <family val="2"/>
        <charset val="238"/>
      </rPr>
      <t>Program Operacyjny Wiedza Edukacja Rozwój na lata 2014-2020</t>
    </r>
  </si>
  <si>
    <r>
      <t xml:space="preserve">Standardy w zakresie mieszkalnictwa wspomaganego dla osób chorujących psychicznie po wielokrotnych pobytach w szpitalu psychiatrycznym
</t>
    </r>
    <r>
      <rPr>
        <sz val="9"/>
        <rFont val="Arial"/>
        <family val="2"/>
        <charset val="238"/>
      </rPr>
      <t>Program Operacyjny Wiedza Edukacja Rozwój na lata 2014-2020</t>
    </r>
  </si>
  <si>
    <r>
      <t xml:space="preserve">Liderzy kooperacji
</t>
    </r>
    <r>
      <rPr>
        <sz val="9"/>
        <rFont val="Arial"/>
        <family val="2"/>
        <charset val="238"/>
      </rPr>
      <t>Program Operacyjny Wiedza Edukacja Rozwój na lata 2014-2020</t>
    </r>
  </si>
  <si>
    <r>
      <t xml:space="preserve">CE 985 „SENTINEL - Rozwój i umacnianie pozycji przedsiębiorstw społecznych w celu maksymalnego zwiększenia ich wpływu na sektor ekonomiczny i społeczny w państwach Europy Środkowej"
</t>
    </r>
    <r>
      <rPr>
        <sz val="9"/>
        <rFont val="Arial"/>
        <family val="2"/>
        <charset val="238"/>
      </rPr>
      <t>Program Interreg Europa Środkowa na lata 2014-2020</t>
    </r>
  </si>
  <si>
    <t>VII</t>
  </si>
  <si>
    <t>ZESPÓŁ SZKÓŁ PRZY KLINICZNYM SZPITALU WOJEWÓDZKIM NR 2 IM. JADWIGI KRÓLOWEJ W RZESZOWIE</t>
  </si>
  <si>
    <r>
      <rPr>
        <i/>
        <sz val="9"/>
        <rFont val="Arial"/>
        <family val="2"/>
        <charset val="238"/>
      </rPr>
      <t>Europa w szkole szpitalnej</t>
    </r>
    <r>
      <rPr>
        <sz val="9"/>
        <rFont val="Arial"/>
        <family val="2"/>
        <charset val="238"/>
      </rPr>
      <t xml:space="preserve">
Program ERASMUS +</t>
    </r>
  </si>
  <si>
    <t>4111</t>
  </si>
  <si>
    <t>4121</t>
  </si>
  <si>
    <t>4171</t>
  </si>
  <si>
    <t>VIII</t>
  </si>
  <si>
    <t>PODKARPACKIE CENTRUM EDUKACJI NAUCZYCIELI W RZESZOWIE</t>
  </si>
  <si>
    <r>
      <t xml:space="preserve">Razem odkryjmy świat programowania - szkolenia dla nauczycieli i uczniów z podregionu przemyskiego
</t>
    </r>
    <r>
      <rPr>
        <sz val="9"/>
        <rFont val="Arial"/>
        <family val="2"/>
        <charset val="238"/>
      </rPr>
      <t>Program Operacyjny Polska Cyfrowa na lata 2014-2020</t>
    </r>
  </si>
  <si>
    <r>
      <t xml:space="preserve">Razem odkryjmy świat programowania - szkolenia dla nauczycieli i uczniów z podregionu krośnieńskiego
</t>
    </r>
    <r>
      <rPr>
        <sz val="9"/>
        <rFont val="Arial"/>
        <family val="2"/>
        <charset val="238"/>
      </rPr>
      <t>Program Operacyjny Polska Cyfrowa na lata 2014-2020</t>
    </r>
  </si>
  <si>
    <t>4437</t>
  </si>
  <si>
    <r>
      <t xml:space="preserve">Zawodowcy na start
</t>
    </r>
    <r>
      <rPr>
        <sz val="9"/>
        <color rgb="FFFF0000"/>
        <rFont val="Arial"/>
        <family val="2"/>
        <charset val="238"/>
      </rPr>
      <t>Regionalny Program Operacyjny Województwa Podkarpackiego na lata 2014-2020</t>
    </r>
  </si>
  <si>
    <t>IX</t>
  </si>
  <si>
    <t>MEDYCZNO-SPOŁECZNE CENTRUM KSZTAŁCENIA ZAWODOWEGO I USTAWICZNEGO W RZESZOWIE</t>
  </si>
  <si>
    <r>
      <t xml:space="preserve">Dostosowanie oferty kształcenia Medyczno - Społecznego Centrum Kształcenia Zawodowego i Ustawicznego w Rzeszowie do potrzeb podkarpackiego rynku pracy
</t>
    </r>
    <r>
      <rPr>
        <sz val="9"/>
        <rFont val="Arial"/>
        <family val="2"/>
        <charset val="238"/>
      </rPr>
      <t>Regionalny Program Operacyjny Województwa Podkarpackiego na lata 2014-2020</t>
    </r>
  </si>
  <si>
    <t>Rozwijanie profesjonalizmu
Program ERASMUS +</t>
  </si>
  <si>
    <t>RAZEM</t>
  </si>
  <si>
    <t>Tabela Nr 1 do Uchwały NrIV/57/19 Sejmiku Województwa Podkarpackiego w Rzeszowie z dnia 28.01.2019 r.</t>
  </si>
  <si>
    <t>Tabela Nr 2 do Uchwały Nr IV/57/19 Sejmiku Województwa Podkarpackiego w Rzeszowie z dnia 28.01.2019 r.</t>
  </si>
  <si>
    <t xml:space="preserve">Tabela Nr 3 do Uchwały Nr IV/57/19
Sejmiku Województwa Podkarpackiego 
w Rzeszowie z dnia 28.01.2019 r. </t>
  </si>
  <si>
    <t>Załącznik Nr 1
do  Uchwały Nr IV/57/19
Sejmiku Województwa Podkarpackiego 
 w Rzeszowie  z dnia 28.01.2019 r.</t>
  </si>
  <si>
    <t>Załącznik Nr 2
do  Uchwały Nr  IV/57/19
Sejmiku Województwa Podkarpackiego 
 w Rzeszowie  z dnia 28.01.2019 r.</t>
  </si>
  <si>
    <t>Załącznik  Nr 3
do  Uchwały Nr  IV/57/19
Sejmiku Województwa Podkarpackiego 
 w Rzeszowie  z dnia 28.01.2019 r.</t>
  </si>
  <si>
    <t>Załącznik Nr 4
do  Uchwały Nr IV/57/19
Sejmiku Województwa Podkarpackiego 
 w Rzeszowie  z dnia  28.01.2019 r.</t>
  </si>
  <si>
    <t>Załącznik Nr 5
do  Uchwały Nr  IV/57/19
Sejmiku Województwa Podkarpackiego 
 w Rzeszowie  z dnia  28.01.2019 r.</t>
  </si>
  <si>
    <t>Załącznik Nr 6
do  Uchwały Nr IV/57/19
Sejmiku Województwa Podkarpackiego 
 w Rzeszowie  z dnia 28.01.2019 r.</t>
  </si>
  <si>
    <t>Załącznik Nr 7
do  Uchwały Nr  IV/57/19
Sejmiku Województwa Podkarpackiego 
 w Rzeszowie  z dnia 28.01.2019 r.</t>
  </si>
  <si>
    <t xml:space="preserve">Załącznik Nr 8
do  Uchwały Nr IV/57/19 
Sejmiku Województwa Podkarpackiego 
 w Rzeszowie  z dnia 28.01.2019 r.  </t>
  </si>
  <si>
    <t xml:space="preserve">Załącznik Nr 9
do  Uchwały Nr IV/57/19
Sejmiku Województwa Podkarpackiego 
 w Rzeszowie  z dnia 28.01.2019 r. </t>
  </si>
  <si>
    <t>Załącznik Nr 10 
do  Uchwały Nr IV/57/19
Sejmiku Województwa Podkarpackiego 
 w Rzeszowie  z dnia 28.01.2019 r.</t>
  </si>
  <si>
    <t>Załącznik Nr 11
do  Uchwały Nr IV/57/19
Sejmiku Województwa Podkarpackiego 
 w Rzeszowie  z dnia 28.01.2019 r.</t>
  </si>
  <si>
    <t>Załącznik Nr 12
do  Uchwały Nr IV/57/19
Sejmiku Województwa Podkarpackiego 
 w Rzeszowie  z dnia 28.01.2019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</si>
</sst>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Times New Roman CE"/>
      <family val="1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color theme="1"/>
      <name val="Arial CE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 CE"/>
      <charset val="238"/>
    </font>
    <font>
      <sz val="10"/>
      <color theme="1"/>
      <name val="Arial CE"/>
      <charset val="238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 CE"/>
      <charset val="238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 CE"/>
      <charset val="238"/>
    </font>
    <font>
      <i/>
      <sz val="11"/>
      <name val="Arial CE"/>
      <charset val="238"/>
    </font>
    <font>
      <i/>
      <sz val="11"/>
      <color theme="1"/>
      <name val="Arial CE"/>
      <charset val="238"/>
    </font>
    <font>
      <sz val="10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i/>
      <sz val="14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Times New Roman CE"/>
      <family val="1"/>
      <charset val="238"/>
    </font>
    <font>
      <sz val="11"/>
      <name val="Arial"/>
      <family val="2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i/>
      <sz val="12"/>
      <name val="Arial"/>
      <family val="2"/>
      <charset val="238"/>
    </font>
    <font>
      <sz val="10"/>
      <color rgb="FFFF0000"/>
      <name val="Times New Roman CE"/>
      <family val="1"/>
      <charset val="238"/>
    </font>
    <font>
      <b/>
      <i/>
      <sz val="10"/>
      <color rgb="FFFF0000"/>
      <name val="Arial CE"/>
      <charset val="238"/>
    </font>
    <font>
      <b/>
      <i/>
      <sz val="10"/>
      <name val="Arial CE"/>
      <charset val="238"/>
    </font>
    <font>
      <i/>
      <sz val="10"/>
      <color rgb="FFFF0000"/>
      <name val="Arial CE"/>
      <charset val="238"/>
    </font>
    <font>
      <i/>
      <sz val="10"/>
      <name val="Arial CE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9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8"/>
      <color rgb="FFFF0000"/>
      <name val="Arial"/>
      <family val="2"/>
      <charset val="238"/>
    </font>
    <font>
      <sz val="9"/>
      <name val="Arial CE"/>
      <charset val="238"/>
    </font>
    <font>
      <b/>
      <sz val="8"/>
      <name val="Arial"/>
      <family val="2"/>
      <charset val="238"/>
    </font>
    <font>
      <b/>
      <sz val="8"/>
      <name val="Czcionka tekstu podstawowego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 CE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9"/>
      <color theme="4" tint="-0.249977111117893"/>
      <name val="Arial CE"/>
      <charset val="238"/>
    </font>
    <font>
      <b/>
      <sz val="10"/>
      <color rgb="FFFF0000"/>
      <name val="Arial CE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rgb="FFFFFF66"/>
        <bgColor indexed="0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5DF41"/>
        <bgColor indexed="64"/>
      </patternFill>
    </fill>
    <fill>
      <patternFill patternType="solid">
        <fgColor rgb="FFCCCC00"/>
        <bgColor indexed="64"/>
      </patternFill>
    </fill>
  </fills>
  <borders count="11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7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1" fillId="0" borderId="0"/>
    <xf numFmtId="0" fontId="24" fillId="0" borderId="0"/>
    <xf numFmtId="0" fontId="5" fillId="0" borderId="0"/>
  </cellStyleXfs>
  <cellXfs count="3555">
    <xf numFmtId="0" fontId="0" fillId="0" borderId="0" xfId="0"/>
    <xf numFmtId="0" fontId="5" fillId="0" borderId="0" xfId="1"/>
    <xf numFmtId="3" fontId="5" fillId="0" borderId="0" xfId="1" applyNumberFormat="1"/>
    <xf numFmtId="0" fontId="7" fillId="0" borderId="3" xfId="1" applyFont="1" applyBorder="1" applyAlignment="1">
      <alignment vertical="center" wrapText="1"/>
    </xf>
    <xf numFmtId="0" fontId="5" fillId="0" borderId="0" xfId="1" applyBorder="1"/>
    <xf numFmtId="0" fontId="8" fillId="0" borderId="0" xfId="1" applyFont="1" applyBorder="1" applyAlignment="1">
      <alignment horizontal="right" vertical="center" wrapText="1"/>
    </xf>
    <xf numFmtId="0" fontId="17" fillId="0" borderId="0" xfId="1" applyFont="1" applyBorder="1" applyAlignment="1">
      <alignment horizontal="center" vertical="center" wrapText="1"/>
    </xf>
    <xf numFmtId="4" fontId="5" fillId="0" borderId="0" xfId="1" applyNumberFormat="1"/>
    <xf numFmtId="3" fontId="16" fillId="2" borderId="4" xfId="1" applyNumberFormat="1" applyFont="1" applyFill="1" applyBorder="1" applyAlignment="1">
      <alignment vertical="center"/>
    </xf>
    <xf numFmtId="3" fontId="11" fillId="4" borderId="4" xfId="1" applyNumberFormat="1" applyFont="1" applyFill="1" applyBorder="1" applyAlignment="1">
      <alignment vertical="center"/>
    </xf>
    <xf numFmtId="0" fontId="7" fillId="0" borderId="23" xfId="1" applyFont="1" applyFill="1" applyBorder="1" applyAlignment="1">
      <alignment horizontal="left" vertical="center"/>
    </xf>
    <xf numFmtId="3" fontId="7" fillId="0" borderId="8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12" fillId="0" borderId="8" xfId="1" applyFont="1" applyFill="1" applyBorder="1" applyAlignment="1">
      <alignment horizontal="center" vertical="center"/>
    </xf>
    <xf numFmtId="3" fontId="16" fillId="2" borderId="18" xfId="1" applyNumberFormat="1" applyFont="1" applyFill="1" applyBorder="1" applyAlignment="1">
      <alignment horizontal="right" vertical="center"/>
    </xf>
    <xf numFmtId="0" fontId="16" fillId="2" borderId="4" xfId="1" applyFont="1" applyFill="1" applyBorder="1" applyAlignment="1">
      <alignment horizontal="center" vertical="center"/>
    </xf>
    <xf numFmtId="3" fontId="11" fillId="3" borderId="4" xfId="1" applyNumberFormat="1" applyFont="1" applyFill="1" applyBorder="1" applyAlignment="1">
      <alignment vertical="center"/>
    </xf>
    <xf numFmtId="3" fontId="7" fillId="0" borderId="17" xfId="1" applyNumberFormat="1" applyFont="1" applyFill="1" applyBorder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7" fillId="0" borderId="23" xfId="1" applyFont="1" applyBorder="1" applyAlignment="1">
      <alignment vertical="center" wrapText="1"/>
    </xf>
    <xf numFmtId="3" fontId="7" fillId="0" borderId="19" xfId="4" applyNumberFormat="1" applyFont="1" applyFill="1" applyBorder="1" applyAlignment="1">
      <alignment vertical="center"/>
    </xf>
    <xf numFmtId="3" fontId="7" fillId="0" borderId="19" xfId="4" applyNumberFormat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12" fillId="0" borderId="16" xfId="1" applyFont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3" fontId="11" fillId="2" borderId="4" xfId="1" applyNumberFormat="1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Alignment="1">
      <alignment vertical="center"/>
    </xf>
    <xf numFmtId="0" fontId="19" fillId="0" borderId="4" xfId="1" applyFont="1" applyFill="1" applyBorder="1" applyAlignment="1">
      <alignment horizontal="left" vertical="center" wrapText="1"/>
    </xf>
    <xf numFmtId="3" fontId="19" fillId="0" borderId="4" xfId="1" applyNumberFormat="1" applyFont="1" applyFill="1" applyBorder="1" applyAlignment="1">
      <alignment horizontal="right" vertical="center"/>
    </xf>
    <xf numFmtId="49" fontId="11" fillId="0" borderId="4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5" fillId="0" borderId="0" xfId="1" applyFont="1" applyAlignment="1">
      <alignment wrapText="1"/>
    </xf>
    <xf numFmtId="0" fontId="7" fillId="0" borderId="29" xfId="1" applyFont="1" applyFill="1" applyBorder="1" applyAlignment="1">
      <alignment horizontal="left" vertical="center"/>
    </xf>
    <xf numFmtId="0" fontId="5" fillId="0" borderId="0" xfId="1" applyFont="1"/>
    <xf numFmtId="3" fontId="11" fillId="4" borderId="12" xfId="4" applyNumberFormat="1" applyFont="1" applyFill="1" applyBorder="1" applyAlignment="1">
      <alignment vertical="center"/>
    </xf>
    <xf numFmtId="0" fontId="22" fillId="0" borderId="0" xfId="1" applyFont="1"/>
    <xf numFmtId="0" fontId="7" fillId="0" borderId="29" xfId="1" applyFont="1" applyFill="1" applyBorder="1" applyAlignment="1">
      <alignment horizontal="left" vertical="center" wrapText="1"/>
    </xf>
    <xf numFmtId="0" fontId="12" fillId="0" borderId="29" xfId="1" applyFont="1" applyFill="1" applyBorder="1" applyAlignment="1">
      <alignment horizontal="center" vertical="center"/>
    </xf>
    <xf numFmtId="3" fontId="7" fillId="0" borderId="20" xfId="1" applyNumberFormat="1" applyFont="1" applyFill="1" applyBorder="1" applyAlignment="1">
      <alignment vertical="center"/>
    </xf>
    <xf numFmtId="3" fontId="12" fillId="4" borderId="12" xfId="1" applyNumberFormat="1" applyFont="1" applyFill="1" applyBorder="1" applyAlignment="1">
      <alignment vertical="center"/>
    </xf>
    <xf numFmtId="3" fontId="7" fillId="0" borderId="19" xfId="1" applyNumberFormat="1" applyFont="1" applyFill="1" applyBorder="1" applyAlignment="1">
      <alignment vertical="center"/>
    </xf>
    <xf numFmtId="3" fontId="7" fillId="0" borderId="20" xfId="1" applyNumberFormat="1" applyFont="1" applyBorder="1" applyAlignment="1">
      <alignment vertical="center"/>
    </xf>
    <xf numFmtId="49" fontId="18" fillId="0" borderId="0" xfId="1" applyNumberFormat="1" applyFont="1" applyAlignment="1">
      <alignment horizontal="center" vertical="center"/>
    </xf>
    <xf numFmtId="3" fontId="18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8" fillId="0" borderId="0" xfId="1" applyFont="1" applyAlignment="1">
      <alignment horizontal="right"/>
    </xf>
    <xf numFmtId="3" fontId="7" fillId="6" borderId="22" xfId="1" applyNumberFormat="1" applyFont="1" applyFill="1" applyBorder="1" applyAlignment="1">
      <alignment horizontal="right" vertical="center" wrapText="1"/>
    </xf>
    <xf numFmtId="0" fontId="5" fillId="0" borderId="0" xfId="1" applyAlignment="1">
      <alignment vertical="center"/>
    </xf>
    <xf numFmtId="49" fontId="18" fillId="0" borderId="0" xfId="1" applyNumberFormat="1" applyFont="1" applyAlignment="1">
      <alignment horizontal="center"/>
    </xf>
    <xf numFmtId="3" fontId="18" fillId="0" borderId="0" xfId="1" applyNumberFormat="1" applyFont="1" applyAlignment="1">
      <alignment horizontal="right"/>
    </xf>
    <xf numFmtId="0" fontId="18" fillId="0" borderId="0" xfId="1" applyFont="1"/>
    <xf numFmtId="0" fontId="18" fillId="0" borderId="0" xfId="1" applyFont="1" applyAlignment="1">
      <alignment horizontal="center"/>
    </xf>
    <xf numFmtId="49" fontId="5" fillId="0" borderId="0" xfId="1" applyNumberFormat="1" applyAlignment="1">
      <alignment horizontal="center" vertical="center"/>
    </xf>
    <xf numFmtId="0" fontId="5" fillId="0" borderId="0" xfId="1" applyAlignment="1">
      <alignment horizontal="center"/>
    </xf>
    <xf numFmtId="0" fontId="19" fillId="6" borderId="0" xfId="0" applyFont="1" applyFill="1" applyBorder="1" applyAlignment="1">
      <alignment horizontal="left" vertical="center" wrapText="1"/>
    </xf>
    <xf numFmtId="3" fontId="25" fillId="3" borderId="4" xfId="1" applyNumberFormat="1" applyFont="1" applyFill="1" applyBorder="1" applyAlignment="1">
      <alignment horizontal="right" vertical="center"/>
    </xf>
    <xf numFmtId="0" fontId="19" fillId="6" borderId="30" xfId="0" applyFont="1" applyFill="1" applyBorder="1" applyAlignment="1">
      <alignment horizontal="left" vertical="center" wrapText="1"/>
    </xf>
    <xf numFmtId="3" fontId="16" fillId="4" borderId="4" xfId="1" applyNumberFormat="1" applyFont="1" applyFill="1" applyBorder="1" applyAlignment="1">
      <alignment horizontal="right" vertical="center"/>
    </xf>
    <xf numFmtId="0" fontId="21" fillId="4" borderId="4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3" fontId="11" fillId="3" borderId="4" xfId="1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/>
    </xf>
    <xf numFmtId="0" fontId="11" fillId="3" borderId="17" xfId="1" applyFont="1" applyFill="1" applyBorder="1" applyAlignment="1">
      <alignment horizontal="center" vertical="center"/>
    </xf>
    <xf numFmtId="3" fontId="7" fillId="0" borderId="33" xfId="4" applyNumberFormat="1" applyFont="1" applyBorder="1" applyAlignment="1">
      <alignment vertical="center"/>
    </xf>
    <xf numFmtId="0" fontId="12" fillId="0" borderId="29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3" fontId="7" fillId="0" borderId="33" xfId="1" applyNumberFormat="1" applyFont="1" applyFill="1" applyBorder="1" applyAlignment="1">
      <alignment vertical="center"/>
    </xf>
    <xf numFmtId="0" fontId="19" fillId="0" borderId="6" xfId="1" applyFont="1" applyBorder="1"/>
    <xf numFmtId="0" fontId="19" fillId="0" borderId="0" xfId="1" applyFont="1" applyBorder="1"/>
    <xf numFmtId="0" fontId="19" fillId="0" borderId="5" xfId="1" applyFont="1" applyBorder="1"/>
    <xf numFmtId="3" fontId="7" fillId="0" borderId="29" xfId="1" applyNumberFormat="1" applyFont="1" applyFill="1" applyBorder="1" applyAlignment="1">
      <alignment vertical="center"/>
    </xf>
    <xf numFmtId="0" fontId="12" fillId="0" borderId="31" xfId="1" applyFont="1" applyFill="1" applyBorder="1" applyAlignment="1">
      <alignment horizontal="center" vertical="center"/>
    </xf>
    <xf numFmtId="3" fontId="7" fillId="0" borderId="31" xfId="1" applyNumberFormat="1" applyFont="1" applyFill="1" applyBorder="1" applyAlignment="1">
      <alignment vertical="center"/>
    </xf>
    <xf numFmtId="0" fontId="7" fillId="0" borderId="8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11" fillId="4" borderId="12" xfId="1" applyFont="1" applyFill="1" applyBorder="1" applyAlignment="1">
      <alignment horizontal="center" vertical="center"/>
    </xf>
    <xf numFmtId="3" fontId="7" fillId="0" borderId="42" xfId="4" applyNumberFormat="1" applyFont="1" applyBorder="1" applyAlignment="1">
      <alignment vertical="center"/>
    </xf>
    <xf numFmtId="0" fontId="12" fillId="0" borderId="39" xfId="1" applyFont="1" applyBorder="1" applyAlignment="1">
      <alignment horizontal="center" vertical="center"/>
    </xf>
    <xf numFmtId="0" fontId="12" fillId="0" borderId="40" xfId="1" applyFont="1" applyBorder="1" applyAlignment="1">
      <alignment horizontal="center" vertical="center"/>
    </xf>
    <xf numFmtId="0" fontId="7" fillId="0" borderId="16" xfId="1" applyFont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0" fontId="7" fillId="0" borderId="41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3" fontId="7" fillId="0" borderId="36" xfId="4" applyNumberFormat="1" applyFont="1" applyBorder="1" applyAlignment="1">
      <alignment vertical="center"/>
    </xf>
    <xf numFmtId="3" fontId="7" fillId="0" borderId="36" xfId="4" applyNumberFormat="1" applyFont="1" applyFill="1" applyBorder="1" applyAlignment="1">
      <alignment vertical="center"/>
    </xf>
    <xf numFmtId="3" fontId="7" fillId="0" borderId="41" xfId="4" applyNumberFormat="1" applyFont="1" applyFill="1" applyBorder="1" applyAlignment="1">
      <alignment vertical="center"/>
    </xf>
    <xf numFmtId="3" fontId="7" fillId="0" borderId="18" xfId="4" applyNumberFormat="1" applyFont="1" applyFill="1" applyBorder="1" applyAlignment="1">
      <alignment vertical="center"/>
    </xf>
    <xf numFmtId="0" fontId="12" fillId="0" borderId="35" xfId="1" applyFont="1" applyBorder="1" applyAlignment="1">
      <alignment horizontal="center" vertical="center"/>
    </xf>
    <xf numFmtId="3" fontId="7" fillId="0" borderId="7" xfId="1" applyNumberFormat="1" applyFont="1" applyFill="1" applyBorder="1" applyAlignment="1">
      <alignment vertical="center"/>
    </xf>
    <xf numFmtId="0" fontId="11" fillId="3" borderId="4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5" fillId="0" borderId="0" xfId="1" applyAlignment="1">
      <alignment wrapText="1"/>
    </xf>
    <xf numFmtId="3" fontId="19" fillId="0" borderId="34" xfId="1" applyNumberFormat="1" applyFont="1" applyBorder="1" applyAlignment="1">
      <alignment horizontal="right" vertical="center"/>
    </xf>
    <xf numFmtId="3" fontId="18" fillId="0" borderId="0" xfId="1" applyNumberFormat="1" applyFont="1" applyAlignment="1">
      <alignment horizontal="center" vertical="center"/>
    </xf>
    <xf numFmtId="3" fontId="11" fillId="4" borderId="13" xfId="1" applyNumberFormat="1" applyFont="1" applyFill="1" applyBorder="1" applyAlignment="1">
      <alignment horizontal="right" vertical="center"/>
    </xf>
    <xf numFmtId="3" fontId="11" fillId="4" borderId="4" xfId="1" applyNumberFormat="1" applyFont="1" applyFill="1" applyBorder="1" applyAlignment="1">
      <alignment horizontal="right" vertical="center"/>
    </xf>
    <xf numFmtId="3" fontId="19" fillId="0" borderId="4" xfId="1" applyNumberFormat="1" applyFont="1" applyFill="1" applyBorder="1" applyAlignment="1">
      <alignment horizontal="right" vertical="center" wrapText="1"/>
    </xf>
    <xf numFmtId="3" fontId="19" fillId="0" borderId="4" xfId="1" applyNumberFormat="1" applyFont="1" applyBorder="1" applyAlignment="1">
      <alignment horizontal="right" vertical="center" wrapText="1"/>
    </xf>
    <xf numFmtId="3" fontId="19" fillId="0" borderId="8" xfId="1" applyNumberFormat="1" applyFont="1" applyFill="1" applyBorder="1" applyAlignment="1">
      <alignment horizontal="right" vertical="center" wrapText="1"/>
    </xf>
    <xf numFmtId="3" fontId="19" fillId="0" borderId="46" xfId="1" applyNumberFormat="1" applyFont="1" applyFill="1" applyBorder="1" applyAlignment="1">
      <alignment horizontal="right" vertical="center" wrapText="1"/>
    </xf>
    <xf numFmtId="3" fontId="19" fillId="0" borderId="7" xfId="1" applyNumberFormat="1" applyFont="1" applyFill="1" applyBorder="1" applyAlignment="1">
      <alignment horizontal="right" vertical="center" wrapText="1"/>
    </xf>
    <xf numFmtId="0" fontId="19" fillId="0" borderId="49" xfId="1" applyNumberFormat="1" applyFont="1" applyFill="1" applyBorder="1" applyAlignment="1">
      <alignment horizontal="center" vertical="center" wrapText="1"/>
    </xf>
    <xf numFmtId="0" fontId="19" fillId="0" borderId="12" xfId="1" applyNumberFormat="1" applyFont="1" applyFill="1" applyBorder="1" applyAlignment="1">
      <alignment horizontal="center" vertical="center" wrapText="1"/>
    </xf>
    <xf numFmtId="0" fontId="19" fillId="0" borderId="12" xfId="1" applyNumberFormat="1" applyFont="1" applyBorder="1" applyAlignment="1">
      <alignment horizontal="center" vertical="center" wrapText="1"/>
    </xf>
    <xf numFmtId="0" fontId="19" fillId="0" borderId="12" xfId="1" applyNumberFormat="1" applyFont="1" applyFill="1" applyBorder="1" applyAlignment="1">
      <alignment horizontal="center" vertical="center"/>
    </xf>
    <xf numFmtId="49" fontId="11" fillId="0" borderId="7" xfId="1" applyNumberFormat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3" fontId="19" fillId="6" borderId="13" xfId="1" applyNumberFormat="1" applyFont="1" applyFill="1" applyBorder="1" applyAlignment="1">
      <alignment horizontal="right" vertical="center" wrapText="1"/>
    </xf>
    <xf numFmtId="3" fontId="19" fillId="6" borderId="13" xfId="1" applyNumberFormat="1" applyFont="1" applyFill="1" applyBorder="1" applyAlignment="1">
      <alignment horizontal="right" vertical="center"/>
    </xf>
    <xf numFmtId="0" fontId="19" fillId="0" borderId="7" xfId="1" applyFont="1" applyFill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19" fillId="0" borderId="4" xfId="1" applyFont="1" applyBorder="1" applyAlignment="1">
      <alignment vertical="center" wrapText="1"/>
    </xf>
    <xf numFmtId="3" fontId="19" fillId="0" borderId="45" xfId="1" applyNumberFormat="1" applyFont="1" applyBorder="1" applyAlignment="1">
      <alignment horizontal="right" vertical="center"/>
    </xf>
    <xf numFmtId="3" fontId="11" fillId="4" borderId="38" xfId="1" applyNumberFormat="1" applyFont="1" applyFill="1" applyBorder="1" applyAlignment="1">
      <alignment horizontal="right" vertical="center"/>
    </xf>
    <xf numFmtId="3" fontId="11" fillId="5" borderId="38" xfId="1" applyNumberFormat="1" applyFont="1" applyFill="1" applyBorder="1" applyAlignment="1">
      <alignment horizontal="right" vertical="center"/>
    </xf>
    <xf numFmtId="0" fontId="19" fillId="0" borderId="41" xfId="1" applyNumberFormat="1" applyFont="1" applyBorder="1" applyAlignment="1">
      <alignment horizontal="center" vertical="center"/>
    </xf>
    <xf numFmtId="3" fontId="19" fillId="0" borderId="8" xfId="1" applyNumberFormat="1" applyFont="1" applyBorder="1" applyAlignment="1">
      <alignment horizontal="right" vertical="center"/>
    </xf>
    <xf numFmtId="3" fontId="19" fillId="6" borderId="47" xfId="1" applyNumberFormat="1" applyFont="1" applyFill="1" applyBorder="1" applyAlignment="1">
      <alignment horizontal="right" vertical="center"/>
    </xf>
    <xf numFmtId="3" fontId="19" fillId="0" borderId="7" xfId="1" applyNumberFormat="1" applyFont="1" applyBorder="1" applyAlignment="1">
      <alignment horizontal="right" vertical="center"/>
    </xf>
    <xf numFmtId="3" fontId="19" fillId="6" borderId="46" xfId="1" applyNumberFormat="1" applyFont="1" applyFill="1" applyBorder="1" applyAlignment="1">
      <alignment horizontal="right" vertical="center"/>
    </xf>
    <xf numFmtId="49" fontId="11" fillId="0" borderId="8" xfId="1" applyNumberFormat="1" applyFont="1" applyBorder="1" applyAlignment="1">
      <alignment horizontal="center" vertical="center"/>
    </xf>
    <xf numFmtId="0" fontId="19" fillId="0" borderId="41" xfId="1" applyNumberFormat="1" applyFont="1" applyFill="1" applyBorder="1" applyAlignment="1">
      <alignment horizontal="center" vertical="center"/>
    </xf>
    <xf numFmtId="3" fontId="19" fillId="0" borderId="8" xfId="1" applyNumberFormat="1" applyFont="1" applyFill="1" applyBorder="1" applyAlignment="1">
      <alignment horizontal="right" vertical="center"/>
    </xf>
    <xf numFmtId="0" fontId="19" fillId="0" borderId="8" xfId="1" applyFont="1" applyBorder="1" applyAlignment="1">
      <alignment horizontal="left" vertical="center" wrapText="1"/>
    </xf>
    <xf numFmtId="49" fontId="11" fillId="0" borderId="7" xfId="1" applyNumberFormat="1" applyFont="1" applyBorder="1" applyAlignment="1">
      <alignment horizontal="center" vertical="center"/>
    </xf>
    <xf numFmtId="0" fontId="19" fillId="0" borderId="49" xfId="1" applyNumberFormat="1" applyFont="1" applyFill="1" applyBorder="1" applyAlignment="1">
      <alignment horizontal="center" vertical="center"/>
    </xf>
    <xf numFmtId="3" fontId="19" fillId="0" borderId="7" xfId="1" applyNumberFormat="1" applyFont="1" applyFill="1" applyBorder="1" applyAlignment="1">
      <alignment horizontal="right" vertical="center"/>
    </xf>
    <xf numFmtId="0" fontId="19" fillId="0" borderId="7" xfId="1" applyFont="1" applyBorder="1" applyAlignment="1">
      <alignment vertical="center" wrapText="1"/>
    </xf>
    <xf numFmtId="0" fontId="19" fillId="0" borderId="8" xfId="1" applyFont="1" applyBorder="1" applyAlignment="1">
      <alignment vertical="center" wrapText="1"/>
    </xf>
    <xf numFmtId="0" fontId="11" fillId="0" borderId="6" xfId="1" applyFont="1" applyBorder="1" applyAlignment="1">
      <alignment horizontal="center" vertical="center"/>
    </xf>
    <xf numFmtId="3" fontId="11" fillId="4" borderId="4" xfId="1" applyNumberFormat="1" applyFont="1" applyFill="1" applyBorder="1" applyAlignment="1">
      <alignment horizontal="center" vertical="center" wrapText="1"/>
    </xf>
    <xf numFmtId="0" fontId="28" fillId="4" borderId="4" xfId="1" applyFont="1" applyFill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/>
    </xf>
    <xf numFmtId="3" fontId="19" fillId="6" borderId="0" xfId="0" applyNumberFormat="1" applyFont="1" applyFill="1" applyBorder="1" applyAlignment="1">
      <alignment horizontal="left" vertical="center" wrapText="1"/>
    </xf>
    <xf numFmtId="0" fontId="7" fillId="5" borderId="4" xfId="1" applyFont="1" applyFill="1" applyBorder="1"/>
    <xf numFmtId="0" fontId="19" fillId="4" borderId="4" xfId="1" applyFont="1" applyFill="1" applyBorder="1" applyAlignment="1">
      <alignment horizontal="left" vertical="center" wrapText="1"/>
    </xf>
    <xf numFmtId="0" fontId="19" fillId="0" borderId="14" xfId="1" applyFont="1" applyBorder="1" applyAlignment="1">
      <alignment horizontal="left" vertical="center" wrapText="1"/>
    </xf>
    <xf numFmtId="3" fontId="11" fillId="5" borderId="25" xfId="1" applyNumberFormat="1" applyFont="1" applyFill="1" applyBorder="1" applyAlignment="1">
      <alignment horizontal="right" vertical="center"/>
    </xf>
    <xf numFmtId="3" fontId="11" fillId="4" borderId="25" xfId="1" applyNumberFormat="1" applyFont="1" applyFill="1" applyBorder="1" applyAlignment="1">
      <alignment horizontal="right" vertical="center"/>
    </xf>
    <xf numFmtId="3" fontId="9" fillId="5" borderId="4" xfId="1" applyNumberFormat="1" applyFont="1" applyFill="1" applyBorder="1" applyAlignment="1">
      <alignment horizontal="right" vertical="center"/>
    </xf>
    <xf numFmtId="3" fontId="19" fillId="4" borderId="4" xfId="1" applyNumberFormat="1" applyFont="1" applyFill="1" applyBorder="1" applyAlignment="1">
      <alignment horizontal="center" vertical="center" wrapText="1"/>
    </xf>
    <xf numFmtId="3" fontId="19" fillId="0" borderId="14" xfId="1" applyNumberFormat="1" applyFont="1" applyBorder="1" applyAlignment="1">
      <alignment horizontal="center" vertical="center" wrapText="1"/>
    </xf>
    <xf numFmtId="3" fontId="7" fillId="6" borderId="22" xfId="1" applyNumberFormat="1" applyFont="1" applyFill="1" applyBorder="1" applyAlignment="1">
      <alignment horizontal="right" vertical="center"/>
    </xf>
    <xf numFmtId="0" fontId="7" fillId="6" borderId="28" xfId="1" applyNumberFormat="1" applyFont="1" applyFill="1" applyBorder="1" applyAlignment="1">
      <alignment horizontal="center" vertical="center"/>
    </xf>
    <xf numFmtId="0" fontId="7" fillId="0" borderId="28" xfId="4" applyNumberFormat="1" applyFont="1" applyBorder="1" applyAlignment="1">
      <alignment horizontal="center" vertical="center"/>
    </xf>
    <xf numFmtId="0" fontId="7" fillId="0" borderId="28" xfId="1" applyNumberFormat="1" applyFont="1" applyBorder="1" applyAlignment="1">
      <alignment horizontal="center" vertical="center"/>
    </xf>
    <xf numFmtId="3" fontId="12" fillId="0" borderId="8" xfId="4" applyNumberFormat="1" applyFont="1" applyBorder="1" applyAlignment="1">
      <alignment horizontal="right" vertical="center"/>
    </xf>
    <xf numFmtId="3" fontId="7" fillId="6" borderId="27" xfId="1" applyNumberFormat="1" applyFont="1" applyFill="1" applyBorder="1" applyAlignment="1">
      <alignment horizontal="right" vertical="center" wrapText="1"/>
    </xf>
    <xf numFmtId="3" fontId="29" fillId="6" borderId="27" xfId="0" applyNumberFormat="1" applyFont="1" applyFill="1" applyBorder="1" applyAlignment="1">
      <alignment vertical="center"/>
    </xf>
    <xf numFmtId="3" fontId="7" fillId="6" borderId="8" xfId="1" applyNumberFormat="1" applyFont="1" applyFill="1" applyBorder="1" applyAlignment="1">
      <alignment horizontal="left" vertical="center" wrapText="1"/>
    </xf>
    <xf numFmtId="0" fontId="7" fillId="6" borderId="7" xfId="1" applyFont="1" applyFill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5" fillId="0" borderId="7" xfId="1" applyFont="1" applyBorder="1" applyAlignment="1">
      <alignment vertical="center" wrapText="1"/>
    </xf>
    <xf numFmtId="0" fontId="12" fillId="6" borderId="48" xfId="1" applyFont="1" applyFill="1" applyBorder="1" applyAlignment="1">
      <alignment horizontal="center" vertical="center"/>
    </xf>
    <xf numFmtId="0" fontId="7" fillId="0" borderId="8" xfId="4" applyFont="1" applyBorder="1" applyAlignment="1">
      <alignment horizontal="left" vertical="center" wrapText="1"/>
    </xf>
    <xf numFmtId="3" fontId="19" fillId="0" borderId="17" xfId="1" applyNumberFormat="1" applyFont="1" applyFill="1" applyBorder="1" applyAlignment="1">
      <alignment horizontal="right" vertical="center" wrapText="1"/>
    </xf>
    <xf numFmtId="49" fontId="11" fillId="0" borderId="15" xfId="1" applyNumberFormat="1" applyFont="1" applyBorder="1" applyAlignment="1">
      <alignment horizontal="center" vertical="center"/>
    </xf>
    <xf numFmtId="3" fontId="19" fillId="0" borderId="56" xfId="1" applyNumberFormat="1" applyFont="1" applyBorder="1" applyAlignment="1">
      <alignment horizontal="right" vertical="center"/>
    </xf>
    <xf numFmtId="3" fontId="19" fillId="0" borderId="57" xfId="1" applyNumberFormat="1" applyFont="1" applyBorder="1" applyAlignment="1">
      <alignment horizontal="right" vertical="center"/>
    </xf>
    <xf numFmtId="3" fontId="19" fillId="0" borderId="53" xfId="1" applyNumberFormat="1" applyFont="1" applyBorder="1" applyAlignment="1">
      <alignment horizontal="center" vertical="center" wrapText="1"/>
    </xf>
    <xf numFmtId="0" fontId="19" fillId="0" borderId="53" xfId="1" applyFont="1" applyBorder="1" applyAlignment="1">
      <alignment horizontal="left" vertical="center" wrapText="1"/>
    </xf>
    <xf numFmtId="3" fontId="19" fillId="0" borderId="52" xfId="1" applyNumberFormat="1" applyFont="1" applyBorder="1" applyAlignment="1">
      <alignment horizontal="center" vertical="center" wrapText="1"/>
    </xf>
    <xf numFmtId="0" fontId="19" fillId="0" borderId="52" xfId="1" applyFont="1" applyBorder="1" applyAlignment="1">
      <alignment horizontal="left" vertical="center" wrapText="1"/>
    </xf>
    <xf numFmtId="3" fontId="19" fillId="0" borderId="7" xfId="1" applyNumberFormat="1" applyFont="1" applyBorder="1" applyAlignment="1">
      <alignment horizontal="center" vertical="center" wrapText="1"/>
    </xf>
    <xf numFmtId="0" fontId="19" fillId="0" borderId="61" xfId="1" applyNumberFormat="1" applyFont="1" applyBorder="1" applyAlignment="1">
      <alignment horizontal="center" vertical="center"/>
    </xf>
    <xf numFmtId="3" fontId="19" fillId="6" borderId="62" xfId="1" applyNumberFormat="1" applyFont="1" applyFill="1" applyBorder="1" applyAlignment="1">
      <alignment horizontal="right" vertical="center"/>
    </xf>
    <xf numFmtId="0" fontId="7" fillId="6" borderId="65" xfId="1" applyNumberFormat="1" applyFont="1" applyFill="1" applyBorder="1" applyAlignment="1">
      <alignment horizontal="center" vertical="center"/>
    </xf>
    <xf numFmtId="3" fontId="7" fillId="6" borderId="66" xfId="1" applyNumberFormat="1" applyFont="1" applyFill="1" applyBorder="1" applyAlignment="1">
      <alignment horizontal="right" vertical="center" wrapText="1"/>
    </xf>
    <xf numFmtId="3" fontId="7" fillId="6" borderId="67" xfId="1" applyNumberFormat="1" applyFont="1" applyFill="1" applyBorder="1" applyAlignment="1">
      <alignment horizontal="right" vertical="center" wrapText="1"/>
    </xf>
    <xf numFmtId="3" fontId="7" fillId="6" borderId="64" xfId="1" applyNumberFormat="1" applyFont="1" applyFill="1" applyBorder="1" applyAlignment="1">
      <alignment horizontal="left" vertical="center" wrapText="1"/>
    </xf>
    <xf numFmtId="0" fontId="12" fillId="0" borderId="9" xfId="1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3" fontId="7" fillId="6" borderId="22" xfId="4" applyNumberFormat="1" applyFont="1" applyFill="1" applyBorder="1" applyAlignment="1">
      <alignment horizontal="right" vertical="center"/>
    </xf>
    <xf numFmtId="3" fontId="7" fillId="6" borderId="27" xfId="4" applyNumberFormat="1" applyFont="1" applyFill="1" applyBorder="1" applyAlignment="1">
      <alignment horizontal="right" vertical="center"/>
    </xf>
    <xf numFmtId="0" fontId="7" fillId="6" borderId="8" xfId="4" applyFont="1" applyFill="1" applyBorder="1" applyAlignment="1">
      <alignment vertical="center" wrapText="1"/>
    </xf>
    <xf numFmtId="3" fontId="7" fillId="6" borderId="68" xfId="1" applyNumberFormat="1" applyFont="1" applyFill="1" applyBorder="1" applyAlignment="1">
      <alignment horizontal="right" vertical="center"/>
    </xf>
    <xf numFmtId="3" fontId="7" fillId="6" borderId="69" xfId="1" applyNumberFormat="1" applyFont="1" applyFill="1" applyBorder="1" applyAlignment="1">
      <alignment horizontal="right" vertical="center"/>
    </xf>
    <xf numFmtId="0" fontId="7" fillId="0" borderId="32" xfId="4" applyNumberFormat="1" applyFont="1" applyBorder="1" applyAlignment="1">
      <alignment horizontal="center" vertical="center"/>
    </xf>
    <xf numFmtId="0" fontId="7" fillId="0" borderId="74" xfId="1" applyNumberFormat="1" applyFont="1" applyBorder="1" applyAlignment="1">
      <alignment horizontal="center" vertical="center"/>
    </xf>
    <xf numFmtId="3" fontId="12" fillId="0" borderId="70" xfId="4" applyNumberFormat="1" applyFont="1" applyBorder="1" applyAlignment="1">
      <alignment horizontal="right" vertical="center"/>
    </xf>
    <xf numFmtId="0" fontId="7" fillId="0" borderId="75" xfId="4" applyNumberFormat="1" applyFont="1" applyBorder="1" applyAlignment="1">
      <alignment horizontal="center" vertical="center"/>
    </xf>
    <xf numFmtId="3" fontId="7" fillId="6" borderId="70" xfId="1" applyNumberFormat="1" applyFont="1" applyFill="1" applyBorder="1" applyAlignment="1">
      <alignment horizontal="left" vertical="center" wrapText="1"/>
    </xf>
    <xf numFmtId="3" fontId="7" fillId="6" borderId="76" xfId="4" applyNumberFormat="1" applyFont="1" applyFill="1" applyBorder="1" applyAlignment="1">
      <alignment horizontal="right" vertical="center"/>
    </xf>
    <xf numFmtId="3" fontId="7" fillId="6" borderId="77" xfId="4" applyNumberFormat="1" applyFont="1" applyFill="1" applyBorder="1" applyAlignment="1">
      <alignment horizontal="right" vertical="center"/>
    </xf>
    <xf numFmtId="0" fontId="7" fillId="6" borderId="70" xfId="4" applyFont="1" applyFill="1" applyBorder="1" applyAlignment="1">
      <alignment vertical="center" wrapText="1"/>
    </xf>
    <xf numFmtId="0" fontId="12" fillId="0" borderId="9" xfId="4" applyFont="1" applyBorder="1" applyAlignment="1">
      <alignment horizontal="center" vertical="center"/>
    </xf>
    <xf numFmtId="0" fontId="7" fillId="0" borderId="4" xfId="4" applyFont="1" applyBorder="1" applyAlignment="1">
      <alignment horizontal="left" vertical="center" wrapText="1"/>
    </xf>
    <xf numFmtId="3" fontId="12" fillId="0" borderId="4" xfId="4" applyNumberFormat="1" applyFont="1" applyBorder="1" applyAlignment="1">
      <alignment horizontal="right" vertical="center"/>
    </xf>
    <xf numFmtId="0" fontId="7" fillId="0" borderId="21" xfId="4" applyNumberFormat="1" applyFont="1" applyBorder="1" applyAlignment="1">
      <alignment horizontal="center" vertical="center"/>
    </xf>
    <xf numFmtId="3" fontId="7" fillId="6" borderId="72" xfId="4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vertical="center" wrapText="1"/>
    </xf>
    <xf numFmtId="0" fontId="30" fillId="6" borderId="17" xfId="0" applyFont="1" applyFill="1" applyBorder="1" applyAlignment="1">
      <alignment horizontal="left" vertical="center" wrapText="1"/>
    </xf>
    <xf numFmtId="3" fontId="12" fillId="0" borderId="17" xfId="4" applyNumberFormat="1" applyFont="1" applyBorder="1" applyAlignment="1">
      <alignment horizontal="right" vertical="center"/>
    </xf>
    <xf numFmtId="0" fontId="7" fillId="0" borderId="50" xfId="4" applyNumberFormat="1" applyFont="1" applyBorder="1" applyAlignment="1">
      <alignment horizontal="center" vertical="center"/>
    </xf>
    <xf numFmtId="3" fontId="7" fillId="6" borderId="78" xfId="4" applyNumberFormat="1" applyFont="1" applyFill="1" applyBorder="1" applyAlignment="1">
      <alignment vertical="center"/>
    </xf>
    <xf numFmtId="3" fontId="7" fillId="6" borderId="51" xfId="4" applyNumberFormat="1" applyFont="1" applyFill="1" applyBorder="1" applyAlignment="1">
      <alignment vertical="center"/>
    </xf>
    <xf numFmtId="3" fontId="7" fillId="6" borderId="17" xfId="1" applyNumberFormat="1" applyFont="1" applyFill="1" applyBorder="1" applyAlignment="1">
      <alignment horizontal="left" vertical="center" wrapText="1"/>
    </xf>
    <xf numFmtId="0" fontId="30" fillId="6" borderId="4" xfId="0" applyFont="1" applyFill="1" applyBorder="1" applyAlignment="1">
      <alignment horizontal="left" vertical="center" wrapText="1"/>
    </xf>
    <xf numFmtId="3" fontId="7" fillId="6" borderId="72" xfId="4" applyNumberFormat="1" applyFont="1" applyFill="1" applyBorder="1" applyAlignment="1">
      <alignment vertical="center"/>
    </xf>
    <xf numFmtId="3" fontId="7" fillId="6" borderId="73" xfId="4" applyNumberFormat="1" applyFont="1" applyFill="1" applyBorder="1" applyAlignment="1">
      <alignment vertical="center"/>
    </xf>
    <xf numFmtId="3" fontId="7" fillId="6" borderId="4" xfId="1" applyNumberFormat="1" applyFont="1" applyFill="1" applyBorder="1" applyAlignment="1">
      <alignment horizontal="left" vertical="center" wrapText="1"/>
    </xf>
    <xf numFmtId="0" fontId="12" fillId="6" borderId="9" xfId="1" applyFont="1" applyFill="1" applyBorder="1" applyAlignment="1">
      <alignment horizontal="center" vertical="center"/>
    </xf>
    <xf numFmtId="0" fontId="7" fillId="6" borderId="26" xfId="1" applyNumberFormat="1" applyFont="1" applyFill="1" applyBorder="1" applyAlignment="1">
      <alignment horizontal="center" vertical="center"/>
    </xf>
    <xf numFmtId="3" fontId="7" fillId="6" borderId="72" xfId="1" applyNumberFormat="1" applyFont="1" applyFill="1" applyBorder="1" applyAlignment="1">
      <alignment horizontal="right" vertical="center" wrapText="1"/>
    </xf>
    <xf numFmtId="3" fontId="7" fillId="6" borderId="73" xfId="1" applyNumberFormat="1" applyFont="1" applyFill="1" applyBorder="1" applyAlignment="1">
      <alignment horizontal="right" vertical="center" wrapText="1"/>
    </xf>
    <xf numFmtId="0" fontId="12" fillId="6" borderId="71" xfId="1" applyFont="1" applyFill="1" applyBorder="1" applyAlignment="1">
      <alignment horizontal="center" vertical="center"/>
    </xf>
    <xf numFmtId="0" fontId="7" fillId="6" borderId="75" xfId="1" applyNumberFormat="1" applyFont="1" applyFill="1" applyBorder="1" applyAlignment="1">
      <alignment horizontal="center" vertical="center"/>
    </xf>
    <xf numFmtId="3" fontId="7" fillId="6" borderId="76" xfId="1" applyNumberFormat="1" applyFont="1" applyFill="1" applyBorder="1" applyAlignment="1">
      <alignment horizontal="right" vertical="center" wrapText="1"/>
    </xf>
    <xf numFmtId="3" fontId="7" fillId="6" borderId="77" xfId="1" applyNumberFormat="1" applyFont="1" applyFill="1" applyBorder="1" applyAlignment="1">
      <alignment horizontal="right" vertical="center" wrapText="1"/>
    </xf>
    <xf numFmtId="0" fontId="7" fillId="6" borderId="70" xfId="1" applyFont="1" applyFill="1" applyBorder="1" applyAlignment="1">
      <alignment horizontal="left" vertical="center" wrapText="1"/>
    </xf>
    <xf numFmtId="3" fontId="29" fillId="6" borderId="77" xfId="0" applyNumberFormat="1" applyFont="1" applyFill="1" applyBorder="1" applyAlignment="1">
      <alignment vertical="center"/>
    </xf>
    <xf numFmtId="0" fontId="12" fillId="6" borderId="43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left" vertical="center" wrapText="1"/>
    </xf>
    <xf numFmtId="3" fontId="12" fillId="0" borderId="14" xfId="4" applyNumberFormat="1" applyFont="1" applyBorder="1" applyAlignment="1">
      <alignment vertical="center"/>
    </xf>
    <xf numFmtId="0" fontId="7" fillId="6" borderId="60" xfId="1" applyNumberFormat="1" applyFont="1" applyFill="1" applyBorder="1" applyAlignment="1">
      <alignment horizontal="center" vertical="center"/>
    </xf>
    <xf numFmtId="3" fontId="7" fillId="6" borderId="34" xfId="1" applyNumberFormat="1" applyFont="1" applyFill="1" applyBorder="1" applyAlignment="1">
      <alignment horizontal="right" vertical="center" wrapText="1"/>
    </xf>
    <xf numFmtId="3" fontId="29" fillId="6" borderId="79" xfId="0" applyNumberFormat="1" applyFont="1" applyFill="1" applyBorder="1" applyAlignment="1">
      <alignment vertical="center"/>
    </xf>
    <xf numFmtId="3" fontId="7" fillId="6" borderId="14" xfId="1" applyNumberFormat="1" applyFont="1" applyFill="1" applyBorder="1" applyAlignment="1">
      <alignment horizontal="left" vertical="center" wrapText="1"/>
    </xf>
    <xf numFmtId="0" fontId="26" fillId="6" borderId="9" xfId="1" applyFont="1" applyFill="1" applyBorder="1" applyAlignment="1">
      <alignment horizontal="center" vertical="center"/>
    </xf>
    <xf numFmtId="0" fontId="23" fillId="6" borderId="4" xfId="1" applyFont="1" applyFill="1" applyBorder="1" applyAlignment="1">
      <alignment horizontal="left" vertical="center" wrapText="1"/>
    </xf>
    <xf numFmtId="49" fontId="26" fillId="6" borderId="4" xfId="1" applyNumberFormat="1" applyFont="1" applyFill="1" applyBorder="1" applyAlignment="1">
      <alignment horizontal="center" vertical="center"/>
    </xf>
    <xf numFmtId="3" fontId="26" fillId="6" borderId="4" xfId="1" applyNumberFormat="1" applyFont="1" applyFill="1" applyBorder="1" applyAlignment="1">
      <alignment horizontal="right" vertical="center"/>
    </xf>
    <xf numFmtId="0" fontId="23" fillId="6" borderId="21" xfId="1" applyNumberFormat="1" applyFont="1" applyFill="1" applyBorder="1" applyAlignment="1">
      <alignment horizontal="center" vertical="center"/>
    </xf>
    <xf numFmtId="3" fontId="23" fillId="6" borderId="72" xfId="1" applyNumberFormat="1" applyFont="1" applyFill="1" applyBorder="1" applyAlignment="1">
      <alignment horizontal="right" vertical="center" wrapText="1"/>
    </xf>
    <xf numFmtId="3" fontId="23" fillId="6" borderId="73" xfId="1" applyNumberFormat="1" applyFont="1" applyFill="1" applyBorder="1" applyAlignment="1">
      <alignment horizontal="right" vertical="center" wrapText="1"/>
    </xf>
    <xf numFmtId="3" fontId="23" fillId="6" borderId="4" xfId="1" applyNumberFormat="1" applyFont="1" applyFill="1" applyBorder="1" applyAlignment="1">
      <alignment horizontal="left" vertical="center" wrapText="1"/>
    </xf>
    <xf numFmtId="0" fontId="26" fillId="6" borderId="6" xfId="1" applyFont="1" applyFill="1" applyBorder="1" applyAlignment="1">
      <alignment horizontal="center" vertical="center"/>
    </xf>
    <xf numFmtId="0" fontId="23" fillId="6" borderId="15" xfId="1" applyFont="1" applyFill="1" applyBorder="1" applyAlignment="1">
      <alignment horizontal="left" vertical="center" wrapText="1"/>
    </xf>
    <xf numFmtId="49" fontId="26" fillId="6" borderId="15" xfId="1" applyNumberFormat="1" applyFont="1" applyFill="1" applyBorder="1" applyAlignment="1">
      <alignment horizontal="center" vertical="center"/>
    </xf>
    <xf numFmtId="3" fontId="26" fillId="6" borderId="15" xfId="1" applyNumberFormat="1" applyFont="1" applyFill="1" applyBorder="1" applyAlignment="1">
      <alignment horizontal="right" vertical="center"/>
    </xf>
    <xf numFmtId="0" fontId="23" fillId="6" borderId="1" xfId="1" applyNumberFormat="1" applyFont="1" applyFill="1" applyBorder="1" applyAlignment="1">
      <alignment horizontal="center" vertical="center"/>
    </xf>
    <xf numFmtId="3" fontId="23" fillId="6" borderId="59" xfId="1" applyNumberFormat="1" applyFont="1" applyFill="1" applyBorder="1" applyAlignment="1">
      <alignment horizontal="right" vertical="center" wrapText="1"/>
    </xf>
    <xf numFmtId="3" fontId="23" fillId="6" borderId="37" xfId="1" applyNumberFormat="1" applyFont="1" applyFill="1" applyBorder="1" applyAlignment="1">
      <alignment horizontal="right" vertical="center" wrapText="1"/>
    </xf>
    <xf numFmtId="3" fontId="23" fillId="6" borderId="15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Border="1" applyAlignment="1">
      <alignment horizontal="center" vertical="center"/>
    </xf>
    <xf numFmtId="3" fontId="7" fillId="6" borderId="59" xfId="1" applyNumberFormat="1" applyFont="1" applyFill="1" applyBorder="1" applyAlignment="1">
      <alignment horizontal="right" vertical="center"/>
    </xf>
    <xf numFmtId="3" fontId="7" fillId="6" borderId="37" xfId="1" applyNumberFormat="1" applyFont="1" applyFill="1" applyBorder="1" applyAlignment="1">
      <alignment horizontal="right" vertical="center"/>
    </xf>
    <xf numFmtId="0" fontId="27" fillId="3" borderId="14" xfId="1" applyNumberFormat="1" applyFont="1" applyFill="1" applyBorder="1" applyAlignment="1">
      <alignment horizontal="center" vertical="center"/>
    </xf>
    <xf numFmtId="3" fontId="25" fillId="3" borderId="44" xfId="1" applyNumberFormat="1" applyFont="1" applyFill="1" applyBorder="1" applyAlignment="1">
      <alignment horizontal="right" vertical="center"/>
    </xf>
    <xf numFmtId="3" fontId="25" fillId="3" borderId="79" xfId="1" applyNumberFormat="1" applyFont="1" applyFill="1" applyBorder="1" applyAlignment="1">
      <alignment horizontal="right" vertical="center"/>
    </xf>
    <xf numFmtId="0" fontId="27" fillId="3" borderId="14" xfId="1" applyFont="1" applyFill="1" applyBorder="1"/>
    <xf numFmtId="0" fontId="7" fillId="0" borderId="11" xfId="1" applyNumberFormat="1" applyFont="1" applyBorder="1" applyAlignment="1">
      <alignment horizontal="center" vertical="center"/>
    </xf>
    <xf numFmtId="3" fontId="7" fillId="6" borderId="78" xfId="1" applyNumberFormat="1" applyFont="1" applyFill="1" applyBorder="1" applyAlignment="1">
      <alignment horizontal="right" vertical="center"/>
    </xf>
    <xf numFmtId="3" fontId="7" fillId="6" borderId="51" xfId="1" applyNumberFormat="1" applyFont="1" applyFill="1" applyBorder="1" applyAlignment="1">
      <alignment horizontal="right" vertical="center"/>
    </xf>
    <xf numFmtId="0" fontId="5" fillId="0" borderId="17" xfId="1" applyFont="1" applyBorder="1" applyAlignment="1">
      <alignment vertical="center" wrapText="1"/>
    </xf>
    <xf numFmtId="3" fontId="19" fillId="0" borderId="76" xfId="1" applyNumberFormat="1" applyFont="1" applyBorder="1" applyAlignment="1">
      <alignment horizontal="right" vertical="center"/>
    </xf>
    <xf numFmtId="3" fontId="19" fillId="0" borderId="77" xfId="1" applyNumberFormat="1" applyFont="1" applyBorder="1" applyAlignment="1">
      <alignment horizontal="right" vertical="center"/>
    </xf>
    <xf numFmtId="0" fontId="12" fillId="0" borderId="54" xfId="1" applyFont="1" applyBorder="1" applyAlignment="1">
      <alignment horizontal="center" vertical="center"/>
    </xf>
    <xf numFmtId="3" fontId="7" fillId="0" borderId="55" xfId="4" applyNumberFormat="1" applyFont="1" applyBorder="1" applyAlignment="1">
      <alignment vertical="center"/>
    </xf>
    <xf numFmtId="3" fontId="30" fillId="6" borderId="17" xfId="0" applyNumberFormat="1" applyFont="1" applyFill="1" applyBorder="1" applyAlignment="1">
      <alignment vertical="center" wrapText="1"/>
    </xf>
    <xf numFmtId="0" fontId="12" fillId="6" borderId="11" xfId="1" applyFont="1" applyFill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49" fontId="11" fillId="0" borderId="7" xfId="1" applyNumberFormat="1" applyFont="1" applyBorder="1" applyAlignment="1">
      <alignment horizontal="center" vertical="center"/>
    </xf>
    <xf numFmtId="49" fontId="11" fillId="0" borderId="17" xfId="1" applyNumberFormat="1" applyFont="1" applyBorder="1" applyAlignment="1">
      <alignment horizontal="center" vertical="center"/>
    </xf>
    <xf numFmtId="49" fontId="11" fillId="0" borderId="15" xfId="1" applyNumberFormat="1" applyFont="1" applyBorder="1" applyAlignment="1">
      <alignment horizontal="center" vertical="center"/>
    </xf>
    <xf numFmtId="0" fontId="12" fillId="0" borderId="71" xfId="1" applyFont="1" applyBorder="1" applyAlignment="1">
      <alignment horizontal="center" vertical="center"/>
    </xf>
    <xf numFmtId="0" fontId="7" fillId="0" borderId="70" xfId="1" applyFont="1" applyBorder="1" applyAlignment="1">
      <alignment vertical="center" wrapText="1"/>
    </xf>
    <xf numFmtId="3" fontId="7" fillId="6" borderId="73" xfId="4" applyNumberFormat="1" applyFont="1" applyFill="1" applyBorder="1" applyAlignment="1">
      <alignment horizontal="right" vertical="center"/>
    </xf>
    <xf numFmtId="3" fontId="7" fillId="6" borderId="27" xfId="1" applyNumberFormat="1" applyFont="1" applyFill="1" applyBorder="1" applyAlignment="1">
      <alignment horizontal="right" vertical="center"/>
    </xf>
    <xf numFmtId="3" fontId="19" fillId="0" borderId="62" xfId="1" applyNumberFormat="1" applyFont="1" applyFill="1" applyBorder="1" applyAlignment="1">
      <alignment horizontal="right" vertical="center" wrapText="1"/>
    </xf>
    <xf numFmtId="49" fontId="19" fillId="0" borderId="60" xfId="1" applyNumberFormat="1" applyFont="1" applyBorder="1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/>
    </xf>
    <xf numFmtId="3" fontId="19" fillId="6" borderId="80" xfId="1" applyNumberFormat="1" applyFont="1" applyFill="1" applyBorder="1" applyAlignment="1">
      <alignment horizontal="right" vertical="center"/>
    </xf>
    <xf numFmtId="3" fontId="19" fillId="0" borderId="17" xfId="1" applyNumberFormat="1" applyFont="1" applyFill="1" applyBorder="1" applyAlignment="1">
      <alignment horizontal="right" vertical="center"/>
    </xf>
    <xf numFmtId="0" fontId="19" fillId="0" borderId="17" xfId="1" applyFont="1" applyBorder="1" applyAlignment="1">
      <alignment vertical="center" wrapText="1"/>
    </xf>
    <xf numFmtId="3" fontId="5" fillId="0" borderId="0" xfId="1" applyNumberFormat="1" applyAlignment="1">
      <alignment wrapText="1"/>
    </xf>
    <xf numFmtId="0" fontId="12" fillId="0" borderId="17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 wrapText="1"/>
    </xf>
    <xf numFmtId="0" fontId="7" fillId="0" borderId="17" xfId="4" applyFont="1" applyBorder="1" applyAlignment="1">
      <alignment horizontal="left" vertical="center" wrapText="1"/>
    </xf>
    <xf numFmtId="0" fontId="12" fillId="0" borderId="11" xfId="4" applyFont="1" applyBorder="1" applyAlignment="1">
      <alignment horizontal="center" vertical="center"/>
    </xf>
    <xf numFmtId="49" fontId="19" fillId="0" borderId="79" xfId="10" applyNumberFormat="1" applyFont="1" applyFill="1" applyBorder="1" applyAlignment="1" applyProtection="1">
      <alignment horizontal="center" vertical="center" wrapText="1"/>
      <protection locked="0"/>
    </xf>
    <xf numFmtId="3" fontId="11" fillId="5" borderId="21" xfId="1" applyNumberFormat="1" applyFont="1" applyFill="1" applyBorder="1" applyAlignment="1">
      <alignment horizontal="right" vertical="center"/>
    </xf>
    <xf numFmtId="3" fontId="19" fillId="0" borderId="65" xfId="1" applyNumberFormat="1" applyFont="1" applyBorder="1" applyAlignment="1">
      <alignment horizontal="right" vertical="center"/>
    </xf>
    <xf numFmtId="3" fontId="19" fillId="0" borderId="75" xfId="1" applyNumberFormat="1" applyFont="1" applyBorder="1" applyAlignment="1">
      <alignment horizontal="right" vertical="center"/>
    </xf>
    <xf numFmtId="3" fontId="11" fillId="4" borderId="21" xfId="1" applyNumberFormat="1" applyFont="1" applyFill="1" applyBorder="1" applyAlignment="1">
      <alignment horizontal="right" vertical="center"/>
    </xf>
    <xf numFmtId="3" fontId="19" fillId="0" borderId="60" xfId="1" applyNumberFormat="1" applyFont="1" applyBorder="1" applyAlignment="1">
      <alignment horizontal="right" vertical="center"/>
    </xf>
    <xf numFmtId="3" fontId="16" fillId="4" borderId="12" xfId="1" applyNumberFormat="1" applyFont="1" applyFill="1" applyBorder="1" applyAlignment="1">
      <alignment horizontal="right" vertical="center"/>
    </xf>
    <xf numFmtId="3" fontId="11" fillId="5" borderId="4" xfId="1" applyNumberFormat="1" applyFont="1" applyFill="1" applyBorder="1" applyAlignment="1">
      <alignment horizontal="right" vertical="center"/>
    </xf>
    <xf numFmtId="0" fontId="19" fillId="4" borderId="4" xfId="1" applyNumberFormat="1" applyFont="1" applyFill="1" applyBorder="1" applyAlignment="1">
      <alignment horizontal="center" vertical="center"/>
    </xf>
    <xf numFmtId="0" fontId="19" fillId="0" borderId="14" xfId="1" applyNumberFormat="1" applyFont="1" applyBorder="1" applyAlignment="1">
      <alignment horizontal="center" vertical="center"/>
    </xf>
    <xf numFmtId="0" fontId="12" fillId="6" borderId="17" xfId="1" applyFont="1" applyFill="1" applyBorder="1" applyAlignment="1">
      <alignment horizontal="center" vertical="center"/>
    </xf>
    <xf numFmtId="0" fontId="7" fillId="6" borderId="8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vertical="center"/>
    </xf>
    <xf numFmtId="3" fontId="7" fillId="6" borderId="82" xfId="4" applyNumberFormat="1" applyFont="1" applyFill="1" applyBorder="1" applyAlignment="1">
      <alignment vertical="center"/>
    </xf>
    <xf numFmtId="3" fontId="7" fillId="6" borderId="83" xfId="4" applyNumberFormat="1" applyFont="1" applyFill="1" applyBorder="1" applyAlignment="1">
      <alignment vertical="center"/>
    </xf>
    <xf numFmtId="0" fontId="5" fillId="0" borderId="14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12" fillId="0" borderId="43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9" fillId="0" borderId="7" xfId="1" applyFont="1" applyBorder="1" applyAlignment="1">
      <alignment horizontal="left" vertical="center" wrapText="1"/>
    </xf>
    <xf numFmtId="0" fontId="19" fillId="0" borderId="14" xfId="1" applyNumberFormat="1" applyFont="1" applyBorder="1" applyAlignment="1">
      <alignment horizontal="center" vertical="center"/>
    </xf>
    <xf numFmtId="0" fontId="7" fillId="0" borderId="92" xfId="1" applyNumberFormat="1" applyFont="1" applyBorder="1" applyAlignment="1">
      <alignment horizontal="center" vertical="center"/>
    </xf>
    <xf numFmtId="3" fontId="7" fillId="6" borderId="93" xfId="1" applyNumberFormat="1" applyFont="1" applyFill="1" applyBorder="1" applyAlignment="1">
      <alignment horizontal="right" vertical="center"/>
    </xf>
    <xf numFmtId="3" fontId="7" fillId="6" borderId="94" xfId="1" applyNumberFormat="1" applyFont="1" applyFill="1" applyBorder="1" applyAlignment="1">
      <alignment horizontal="right" vertical="center"/>
    </xf>
    <xf numFmtId="0" fontId="7" fillId="6" borderId="91" xfId="1" applyFont="1" applyFill="1" applyBorder="1" applyAlignment="1">
      <alignment horizontal="left" vertical="center" wrapText="1"/>
    </xf>
    <xf numFmtId="0" fontId="7" fillId="0" borderId="85" xfId="1" applyNumberFormat="1" applyFont="1" applyBorder="1" applyAlignment="1">
      <alignment horizontal="center" vertical="center"/>
    </xf>
    <xf numFmtId="3" fontId="7" fillId="6" borderId="88" xfId="1" applyNumberFormat="1" applyFont="1" applyFill="1" applyBorder="1" applyAlignment="1">
      <alignment horizontal="right" vertical="center"/>
    </xf>
    <xf numFmtId="3" fontId="7" fillId="6" borderId="84" xfId="1" applyNumberFormat="1" applyFont="1" applyFill="1" applyBorder="1" applyAlignment="1">
      <alignment horizontal="right" vertical="center"/>
    </xf>
    <xf numFmtId="0" fontId="7" fillId="0" borderId="90" xfId="1" applyNumberFormat="1" applyFont="1" applyBorder="1" applyAlignment="1">
      <alignment horizontal="center" vertical="center"/>
    </xf>
    <xf numFmtId="3" fontId="7" fillId="6" borderId="95" xfId="1" applyNumberFormat="1" applyFont="1" applyFill="1" applyBorder="1" applyAlignment="1">
      <alignment horizontal="right" vertical="center"/>
    </xf>
    <xf numFmtId="3" fontId="7" fillId="6" borderId="96" xfId="1" applyNumberFormat="1" applyFont="1" applyFill="1" applyBorder="1" applyAlignment="1">
      <alignment horizontal="right" vertical="center"/>
    </xf>
    <xf numFmtId="0" fontId="7" fillId="0" borderId="81" xfId="1" applyNumberFormat="1" applyFont="1" applyBorder="1" applyAlignment="1">
      <alignment horizontal="center" vertical="center"/>
    </xf>
    <xf numFmtId="3" fontId="7" fillId="6" borderId="97" xfId="1" applyNumberFormat="1" applyFont="1" applyFill="1" applyBorder="1" applyAlignment="1">
      <alignment horizontal="right" vertical="center"/>
    </xf>
    <xf numFmtId="3" fontId="7" fillId="6" borderId="98" xfId="1" applyNumberFormat="1" applyFont="1" applyFill="1" applyBorder="1" applyAlignment="1">
      <alignment horizontal="right" vertical="center"/>
    </xf>
    <xf numFmtId="0" fontId="7" fillId="0" borderId="86" xfId="1" applyNumberFormat="1" applyFont="1" applyBorder="1" applyAlignment="1">
      <alignment horizontal="center" vertical="center"/>
    </xf>
    <xf numFmtId="0" fontId="7" fillId="0" borderId="87" xfId="1" applyNumberFormat="1" applyFont="1" applyBorder="1" applyAlignment="1">
      <alignment horizontal="center" vertical="center"/>
    </xf>
    <xf numFmtId="3" fontId="12" fillId="0" borderId="14" xfId="1" applyNumberFormat="1" applyFont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/>
    </xf>
    <xf numFmtId="49" fontId="11" fillId="0" borderId="7" xfId="1" applyNumberFormat="1" applyFont="1" applyBorder="1" applyAlignment="1">
      <alignment horizontal="center" vertical="center"/>
    </xf>
    <xf numFmtId="49" fontId="11" fillId="0" borderId="17" xfId="1" applyNumberFormat="1" applyFont="1" applyBorder="1" applyAlignment="1">
      <alignment horizontal="center" vertical="center"/>
    </xf>
    <xf numFmtId="49" fontId="19" fillId="0" borderId="99" xfId="1" applyNumberFormat="1" applyFont="1" applyBorder="1" applyAlignment="1">
      <alignment horizontal="center" vertical="center"/>
    </xf>
    <xf numFmtId="49" fontId="19" fillId="0" borderId="100" xfId="1" applyNumberFormat="1" applyFont="1" applyBorder="1" applyAlignment="1">
      <alignment horizontal="center" vertical="center" wrapText="1"/>
    </xf>
    <xf numFmtId="3" fontId="19" fillId="0" borderId="89" xfId="1" applyNumberFormat="1" applyFont="1" applyBorder="1" applyAlignment="1">
      <alignment horizontal="right" vertical="center"/>
    </xf>
    <xf numFmtId="3" fontId="19" fillId="0" borderId="101" xfId="1" applyNumberFormat="1" applyFont="1" applyBorder="1" applyAlignment="1">
      <alignment horizontal="right" vertical="center"/>
    </xf>
    <xf numFmtId="3" fontId="19" fillId="0" borderId="100" xfId="1" applyNumberFormat="1" applyFont="1" applyBorder="1" applyAlignment="1">
      <alignment horizontal="right" vertical="center"/>
    </xf>
    <xf numFmtId="3" fontId="19" fillId="0" borderId="102" xfId="1" applyNumberFormat="1" applyFont="1" applyBorder="1" applyAlignment="1">
      <alignment horizontal="center" vertical="center" wrapText="1"/>
    </xf>
    <xf numFmtId="0" fontId="19" fillId="0" borderId="102" xfId="1" applyFont="1" applyBorder="1" applyAlignment="1">
      <alignment horizontal="left" vertical="center" wrapText="1"/>
    </xf>
    <xf numFmtId="49" fontId="19" fillId="0" borderId="86" xfId="1" applyNumberFormat="1" applyFont="1" applyBorder="1" applyAlignment="1">
      <alignment horizontal="center" vertical="center"/>
    </xf>
    <xf numFmtId="49" fontId="19" fillId="0" borderId="96" xfId="1" applyNumberFormat="1" applyFont="1" applyBorder="1" applyAlignment="1">
      <alignment horizontal="center" vertical="center" wrapText="1"/>
    </xf>
    <xf numFmtId="3" fontId="19" fillId="0" borderId="95" xfId="1" applyNumberFormat="1" applyFont="1" applyBorder="1" applyAlignment="1">
      <alignment horizontal="right" vertical="center"/>
    </xf>
    <xf numFmtId="3" fontId="19" fillId="0" borderId="96" xfId="1" applyNumberFormat="1" applyFont="1" applyBorder="1" applyAlignment="1">
      <alignment horizontal="right" vertical="center"/>
    </xf>
    <xf numFmtId="0" fontId="12" fillId="0" borderId="15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9" fillId="0" borderId="10" xfId="1" applyNumberFormat="1" applyFont="1" applyFill="1" applyBorder="1" applyAlignment="1">
      <alignment horizontal="center" vertical="center" wrapText="1"/>
    </xf>
    <xf numFmtId="3" fontId="19" fillId="0" borderId="2" xfId="1" applyNumberFormat="1" applyFont="1" applyFill="1" applyBorder="1" applyAlignment="1">
      <alignment horizontal="right" vertical="center" wrapText="1"/>
    </xf>
    <xf numFmtId="0" fontId="19" fillId="0" borderId="17" xfId="1" applyFont="1" applyFill="1" applyBorder="1" applyAlignment="1">
      <alignment horizontal="left" vertical="center" wrapText="1"/>
    </xf>
    <xf numFmtId="0" fontId="19" fillId="0" borderId="7" xfId="1" applyNumberFormat="1" applyFont="1" applyFill="1" applyBorder="1" applyAlignment="1">
      <alignment horizontal="center" vertical="center" wrapText="1"/>
    </xf>
    <xf numFmtId="0" fontId="19" fillId="0" borderId="61" xfId="1" applyNumberFormat="1" applyFont="1" applyFill="1" applyBorder="1" applyAlignment="1">
      <alignment horizontal="center" vertical="center"/>
    </xf>
    <xf numFmtId="0" fontId="26" fillId="6" borderId="43" xfId="1" applyFont="1" applyFill="1" applyBorder="1" applyAlignment="1">
      <alignment horizontal="center" vertical="center"/>
    </xf>
    <xf numFmtId="0" fontId="23" fillId="6" borderId="14" xfId="1" applyFont="1" applyFill="1" applyBorder="1" applyAlignment="1">
      <alignment horizontal="left" vertical="center" wrapText="1"/>
    </xf>
    <xf numFmtId="49" fontId="26" fillId="6" borderId="14" xfId="1" applyNumberFormat="1" applyFont="1" applyFill="1" applyBorder="1" applyAlignment="1">
      <alignment horizontal="center" vertical="center"/>
    </xf>
    <xf numFmtId="0" fontId="23" fillId="6" borderId="60" xfId="1" applyNumberFormat="1" applyFont="1" applyFill="1" applyBorder="1" applyAlignment="1">
      <alignment horizontal="center" vertical="center"/>
    </xf>
    <xf numFmtId="3" fontId="23" fillId="6" borderId="97" xfId="1" applyNumberFormat="1" applyFont="1" applyFill="1" applyBorder="1" applyAlignment="1">
      <alignment horizontal="right" vertical="center" wrapText="1"/>
    </xf>
    <xf numFmtId="3" fontId="23" fillId="6" borderId="98" xfId="1" applyNumberFormat="1" applyFont="1" applyFill="1" applyBorder="1" applyAlignment="1">
      <alignment horizontal="right" vertical="center" wrapText="1"/>
    </xf>
    <xf numFmtId="3" fontId="23" fillId="6" borderId="14" xfId="1" applyNumberFormat="1" applyFont="1" applyFill="1" applyBorder="1" applyAlignment="1">
      <alignment horizontal="left" vertical="center" wrapText="1"/>
    </xf>
    <xf numFmtId="0" fontId="5" fillId="0" borderId="14" xfId="1" applyFont="1" applyBorder="1" applyAlignment="1">
      <alignment vertical="center" wrapText="1"/>
    </xf>
    <xf numFmtId="0" fontId="7" fillId="0" borderId="43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 wrapText="1"/>
    </xf>
    <xf numFmtId="3" fontId="7" fillId="6" borderId="82" xfId="1" applyNumberFormat="1" applyFont="1" applyFill="1" applyBorder="1" applyAlignment="1">
      <alignment horizontal="right" vertical="center"/>
    </xf>
    <xf numFmtId="0" fontId="24" fillId="0" borderId="0" xfId="14" applyFont="1" applyAlignment="1">
      <alignment horizontal="center" vertical="center"/>
    </xf>
    <xf numFmtId="0" fontId="24" fillId="0" borderId="0" xfId="14" applyFont="1" applyAlignment="1">
      <alignment vertical="center"/>
    </xf>
    <xf numFmtId="10" fontId="32" fillId="0" borderId="0" xfId="14" applyNumberFormat="1" applyFont="1" applyBorder="1" applyAlignment="1">
      <alignment horizontal="right" vertical="center"/>
    </xf>
    <xf numFmtId="0" fontId="24" fillId="0" borderId="0" xfId="14"/>
    <xf numFmtId="10" fontId="24" fillId="0" borderId="0" xfId="14" applyNumberFormat="1"/>
    <xf numFmtId="0" fontId="34" fillId="0" borderId="0" xfId="14" applyFont="1" applyBorder="1" applyAlignment="1">
      <alignment vertical="center" wrapText="1"/>
    </xf>
    <xf numFmtId="10" fontId="34" fillId="0" borderId="0" xfId="14" applyNumberFormat="1" applyFont="1" applyBorder="1" applyAlignment="1">
      <alignment vertical="center" wrapText="1"/>
    </xf>
    <xf numFmtId="0" fontId="35" fillId="0" borderId="0" xfId="14" applyFont="1" applyBorder="1" applyAlignment="1">
      <alignment horizontal="center" vertical="center"/>
    </xf>
    <xf numFmtId="0" fontId="24" fillId="0" borderId="0" xfId="14" applyFont="1" applyBorder="1" applyAlignment="1">
      <alignment horizontal="center" vertical="center"/>
    </xf>
    <xf numFmtId="0" fontId="24" fillId="0" borderId="0" xfId="14" applyFont="1" applyBorder="1" applyAlignment="1">
      <alignment vertical="center"/>
    </xf>
    <xf numFmtId="3" fontId="32" fillId="0" borderId="0" xfId="14" applyNumberFormat="1" applyFont="1" applyBorder="1" applyAlignment="1">
      <alignment horizontal="right" vertical="center"/>
    </xf>
    <xf numFmtId="0" fontId="11" fillId="2" borderId="4" xfId="14" applyFont="1" applyFill="1" applyBorder="1" applyAlignment="1">
      <alignment horizontal="center" vertical="center" wrapText="1"/>
    </xf>
    <xf numFmtId="0" fontId="11" fillId="2" borderId="12" xfId="14" applyFont="1" applyFill="1" applyBorder="1" applyAlignment="1">
      <alignment horizontal="center" vertical="center" wrapText="1"/>
    </xf>
    <xf numFmtId="0" fontId="25" fillId="2" borderId="4" xfId="14" applyFont="1" applyFill="1" applyBorder="1" applyAlignment="1">
      <alignment horizontal="center" vertical="center" wrapText="1"/>
    </xf>
    <xf numFmtId="0" fontId="11" fillId="2" borderId="9" xfId="14" applyFont="1" applyFill="1" applyBorder="1" applyAlignment="1">
      <alignment horizontal="center" vertical="center" wrapText="1"/>
    </xf>
    <xf numFmtId="3" fontId="25" fillId="2" borderId="4" xfId="14" applyNumberFormat="1" applyFont="1" applyFill="1" applyBorder="1" applyAlignment="1">
      <alignment horizontal="center" vertical="center"/>
    </xf>
    <xf numFmtId="1" fontId="25" fillId="2" borderId="4" xfId="14" applyNumberFormat="1" applyFont="1" applyFill="1" applyBorder="1" applyAlignment="1">
      <alignment horizontal="center" vertical="center"/>
    </xf>
    <xf numFmtId="0" fontId="12" fillId="4" borderId="4" xfId="14" quotePrefix="1" applyFont="1" applyFill="1" applyBorder="1" applyAlignment="1">
      <alignment horizontal="center" vertical="center" wrapText="1"/>
    </xf>
    <xf numFmtId="0" fontId="12" fillId="4" borderId="12" xfId="14" quotePrefix="1" applyFont="1" applyFill="1" applyBorder="1" applyAlignment="1">
      <alignment horizontal="center" vertical="center" wrapText="1"/>
    </xf>
    <xf numFmtId="0" fontId="26" fillId="4" borderId="9" xfId="14" applyFont="1" applyFill="1" applyBorder="1" applyAlignment="1">
      <alignment vertical="center" wrapText="1"/>
    </xf>
    <xf numFmtId="0" fontId="12" fillId="4" borderId="9" xfId="14" applyFont="1" applyFill="1" applyBorder="1" applyAlignment="1">
      <alignment vertical="center" wrapText="1"/>
    </xf>
    <xf numFmtId="3" fontId="36" fillId="4" borderId="17" xfId="14" applyNumberFormat="1" applyFont="1" applyFill="1" applyBorder="1" applyAlignment="1">
      <alignment horizontal="right" vertical="center"/>
    </xf>
    <xf numFmtId="10" fontId="36" fillId="4" borderId="17" xfId="14" applyNumberFormat="1" applyFont="1" applyFill="1" applyBorder="1" applyAlignment="1">
      <alignment horizontal="right" vertical="center"/>
    </xf>
    <xf numFmtId="49" fontId="9" fillId="7" borderId="13" xfId="14" applyNumberFormat="1" applyFont="1" applyFill="1" applyBorder="1" applyAlignment="1">
      <alignment horizontal="center" vertical="center" wrapText="1"/>
    </xf>
    <xf numFmtId="0" fontId="37" fillId="7" borderId="4" xfId="14" applyFont="1" applyFill="1" applyBorder="1" applyAlignment="1">
      <alignment vertical="center" wrapText="1"/>
    </xf>
    <xf numFmtId="0" fontId="9" fillId="7" borderId="9" xfId="14" applyFont="1" applyFill="1" applyBorder="1" applyAlignment="1">
      <alignment vertical="center" wrapText="1"/>
    </xf>
    <xf numFmtId="3" fontId="36" fillId="7" borderId="17" xfId="14" applyNumberFormat="1" applyFont="1" applyFill="1" applyBorder="1" applyAlignment="1">
      <alignment horizontal="right" vertical="center"/>
    </xf>
    <xf numFmtId="10" fontId="36" fillId="7" borderId="17" xfId="14" applyNumberFormat="1" applyFont="1" applyFill="1" applyBorder="1" applyAlignment="1">
      <alignment horizontal="right" vertical="center"/>
    </xf>
    <xf numFmtId="0" fontId="8" fillId="8" borderId="48" xfId="14" applyFont="1" applyFill="1" applyBorder="1" applyAlignment="1">
      <alignment vertical="center" wrapText="1"/>
    </xf>
    <xf numFmtId="3" fontId="38" fillId="8" borderId="17" xfId="14" applyNumberFormat="1" applyFont="1" applyFill="1" applyBorder="1" applyAlignment="1">
      <alignment horizontal="right" vertical="center"/>
    </xf>
    <xf numFmtId="10" fontId="38" fillId="8" borderId="17" xfId="14" applyNumberFormat="1" applyFont="1" applyFill="1" applyBorder="1" applyAlignment="1">
      <alignment horizontal="right" vertical="center"/>
    </xf>
    <xf numFmtId="49" fontId="7" fillId="6" borderId="54" xfId="14" applyNumberFormat="1" applyFont="1" applyFill="1" applyBorder="1" applyAlignment="1">
      <alignment horizontal="center" vertical="center" wrapText="1"/>
    </xf>
    <xf numFmtId="3" fontId="39" fillId="0" borderId="64" xfId="14" applyNumberFormat="1" applyFont="1" applyFill="1" applyBorder="1" applyAlignment="1">
      <alignment horizontal="right" vertical="center"/>
    </xf>
    <xf numFmtId="10" fontId="39" fillId="0" borderId="64" xfId="14" applyNumberFormat="1" applyFont="1" applyFill="1" applyBorder="1" applyAlignment="1">
      <alignment horizontal="right" vertical="center"/>
    </xf>
    <xf numFmtId="49" fontId="7" fillId="6" borderId="6" xfId="14" applyNumberFormat="1" applyFont="1" applyFill="1" applyBorder="1" applyAlignment="1">
      <alignment horizontal="center" vertical="center" wrapText="1"/>
    </xf>
    <xf numFmtId="0" fontId="8" fillId="8" borderId="35" xfId="14" applyFont="1" applyFill="1" applyBorder="1" applyAlignment="1">
      <alignment vertical="center" wrapText="1"/>
    </xf>
    <xf numFmtId="3" fontId="38" fillId="8" borderId="7" xfId="14" applyNumberFormat="1" applyFont="1" applyFill="1" applyBorder="1" applyAlignment="1">
      <alignment horizontal="right" vertical="center"/>
    </xf>
    <xf numFmtId="10" fontId="38" fillId="8" borderId="7" xfId="14" applyNumberFormat="1" applyFont="1" applyFill="1" applyBorder="1" applyAlignment="1">
      <alignment horizontal="right" vertical="center"/>
    </xf>
    <xf numFmtId="0" fontId="40" fillId="7" borderId="13" xfId="14" quotePrefix="1" applyFont="1" applyFill="1" applyBorder="1" applyAlignment="1">
      <alignment horizontal="center" vertical="center" wrapText="1"/>
    </xf>
    <xf numFmtId="0" fontId="41" fillId="7" borderId="9" xfId="14" applyFont="1" applyFill="1" applyBorder="1" applyAlignment="1">
      <alignment vertical="center" wrapText="1"/>
    </xf>
    <xf numFmtId="0" fontId="40" fillId="7" borderId="9" xfId="14" applyFont="1" applyFill="1" applyBorder="1" applyAlignment="1">
      <alignment vertical="center" wrapText="1"/>
    </xf>
    <xf numFmtId="0" fontId="8" fillId="8" borderId="48" xfId="14" quotePrefix="1" applyFont="1" applyFill="1" applyBorder="1" applyAlignment="1">
      <alignment horizontal="left" vertical="center" wrapText="1"/>
    </xf>
    <xf numFmtId="3" fontId="38" fillId="8" borderId="8" xfId="14" applyNumberFormat="1" applyFont="1" applyFill="1" applyBorder="1" applyAlignment="1">
      <alignment horizontal="right" vertical="center"/>
    </xf>
    <xf numFmtId="10" fontId="38" fillId="8" borderId="8" xfId="14" applyNumberFormat="1" applyFont="1" applyFill="1" applyBorder="1" applyAlignment="1">
      <alignment horizontal="right" vertical="center"/>
    </xf>
    <xf numFmtId="0" fontId="7" fillId="6" borderId="55" xfId="14" quotePrefix="1" applyFont="1" applyFill="1" applyBorder="1" applyAlignment="1">
      <alignment horizontal="left" vertical="center" wrapText="1"/>
    </xf>
    <xf numFmtId="49" fontId="7" fillId="6" borderId="64" xfId="14" applyNumberFormat="1" applyFont="1" applyFill="1" applyBorder="1" applyAlignment="1">
      <alignment horizontal="center" vertical="center" wrapText="1"/>
    </xf>
    <xf numFmtId="3" fontId="39" fillId="6" borderId="16" xfId="14" applyNumberFormat="1" applyFont="1" applyFill="1" applyBorder="1" applyAlignment="1">
      <alignment horizontal="right" vertical="center"/>
    </xf>
    <xf numFmtId="3" fontId="39" fillId="0" borderId="16" xfId="14" applyNumberFormat="1" applyFont="1" applyFill="1" applyBorder="1" applyAlignment="1">
      <alignment horizontal="right" vertical="center"/>
    </xf>
    <xf numFmtId="10" fontId="39" fillId="0" borderId="16" xfId="14" applyNumberFormat="1" applyFont="1" applyFill="1" applyBorder="1" applyAlignment="1">
      <alignment horizontal="right" vertical="center"/>
    </xf>
    <xf numFmtId="0" fontId="42" fillId="0" borderId="36" xfId="14" applyFont="1" applyBorder="1" applyAlignment="1">
      <alignment vertical="center" wrapText="1"/>
    </xf>
    <xf numFmtId="0" fontId="35" fillId="6" borderId="63" xfId="14" applyFont="1" applyFill="1" applyBorder="1" applyAlignment="1">
      <alignment horizontal="center" vertical="center" wrapText="1"/>
    </xf>
    <xf numFmtId="3" fontId="39" fillId="6" borderId="64" xfId="14" applyNumberFormat="1" applyFont="1" applyFill="1" applyBorder="1" applyAlignment="1">
      <alignment horizontal="right" vertical="center"/>
    </xf>
    <xf numFmtId="0" fontId="42" fillId="0" borderId="20" xfId="14" applyFont="1" applyBorder="1" applyAlignment="1">
      <alignment vertical="center" wrapText="1"/>
    </xf>
    <xf numFmtId="0" fontId="35" fillId="6" borderId="71" xfId="14" applyFont="1" applyFill="1" applyBorder="1" applyAlignment="1">
      <alignment horizontal="center" vertical="center" wrapText="1"/>
    </xf>
    <xf numFmtId="0" fontId="8" fillId="8" borderId="63" xfId="14" quotePrefix="1" applyFont="1" applyFill="1" applyBorder="1" applyAlignment="1">
      <alignment horizontal="left" vertical="center" wrapText="1"/>
    </xf>
    <xf numFmtId="3" fontId="38" fillId="8" borderId="64" xfId="14" applyNumberFormat="1" applyFont="1" applyFill="1" applyBorder="1" applyAlignment="1">
      <alignment horizontal="right" vertical="center"/>
    </xf>
    <xf numFmtId="10" fontId="38" fillId="8" borderId="64" xfId="14" applyNumberFormat="1" applyFont="1" applyFill="1" applyBorder="1" applyAlignment="1">
      <alignment horizontal="right" vertical="center"/>
    </xf>
    <xf numFmtId="0" fontId="42" fillId="6" borderId="36" xfId="14" applyFont="1" applyFill="1" applyBorder="1" applyAlignment="1">
      <alignment vertical="center" wrapText="1"/>
    </xf>
    <xf numFmtId="0" fontId="42" fillId="6" borderId="55" xfId="14" applyFont="1" applyFill="1" applyBorder="1" applyAlignment="1">
      <alignment vertical="center" wrapText="1"/>
    </xf>
    <xf numFmtId="3" fontId="39" fillId="0" borderId="15" xfId="14" applyNumberFormat="1" applyFont="1" applyFill="1" applyBorder="1" applyAlignment="1">
      <alignment horizontal="right" vertical="center"/>
    </xf>
    <xf numFmtId="10" fontId="39" fillId="0" borderId="15" xfId="14" applyNumberFormat="1" applyFont="1" applyFill="1" applyBorder="1" applyAlignment="1">
      <alignment horizontal="right" vertical="center"/>
    </xf>
    <xf numFmtId="0" fontId="41" fillId="7" borderId="4" xfId="14" applyFont="1" applyFill="1" applyBorder="1" applyAlignment="1">
      <alignment vertical="center" wrapText="1"/>
    </xf>
    <xf numFmtId="0" fontId="8" fillId="8" borderId="6" xfId="14" quotePrefix="1" applyFont="1" applyFill="1" applyBorder="1" applyAlignment="1">
      <alignment horizontal="left" vertical="center" wrapText="1"/>
    </xf>
    <xf numFmtId="0" fontId="23" fillId="0" borderId="55" xfId="14" quotePrefix="1" applyFont="1" applyFill="1" applyBorder="1" applyAlignment="1">
      <alignment horizontal="left" vertical="center" wrapText="1"/>
    </xf>
    <xf numFmtId="0" fontId="23" fillId="6" borderId="23" xfId="14" quotePrefix="1" applyFont="1" applyFill="1" applyBorder="1" applyAlignment="1">
      <alignment horizontal="center" vertical="center" wrapText="1"/>
    </xf>
    <xf numFmtId="0" fontId="23" fillId="0" borderId="36" xfId="14" quotePrefix="1" applyFont="1" applyFill="1" applyBorder="1" applyAlignment="1">
      <alignment horizontal="left" vertical="center" wrapText="1"/>
    </xf>
    <xf numFmtId="0" fontId="23" fillId="6" borderId="3" xfId="14" quotePrefix="1" applyFont="1" applyFill="1" applyBorder="1" applyAlignment="1">
      <alignment horizontal="center" vertical="center" wrapText="1"/>
    </xf>
    <xf numFmtId="49" fontId="9" fillId="7" borderId="24" xfId="14" applyNumberFormat="1" applyFont="1" applyFill="1" applyBorder="1" applyAlignment="1">
      <alignment horizontal="center" vertical="center" wrapText="1"/>
    </xf>
    <xf numFmtId="0" fontId="41" fillId="7" borderId="43" xfId="14" applyFont="1" applyFill="1" applyBorder="1" applyAlignment="1">
      <alignment vertical="center" wrapText="1"/>
    </xf>
    <xf numFmtId="0" fontId="40" fillId="7" borderId="43" xfId="14" applyFont="1" applyFill="1" applyBorder="1" applyAlignment="1">
      <alignment vertical="center" wrapText="1"/>
    </xf>
    <xf numFmtId="3" fontId="36" fillId="7" borderId="15" xfId="14" applyNumberFormat="1" applyFont="1" applyFill="1" applyBorder="1" applyAlignment="1">
      <alignment horizontal="right" vertical="center"/>
    </xf>
    <xf numFmtId="10" fontId="36" fillId="7" borderId="15" xfId="14" applyNumberFormat="1" applyFont="1" applyFill="1" applyBorder="1" applyAlignment="1">
      <alignment horizontal="right" vertical="center"/>
    </xf>
    <xf numFmtId="49" fontId="8" fillId="8" borderId="54" xfId="14" applyNumberFormat="1" applyFont="1" applyFill="1" applyBorder="1" applyAlignment="1">
      <alignment horizontal="left" vertical="center" wrapText="1"/>
    </xf>
    <xf numFmtId="49" fontId="9" fillId="0" borderId="102" xfId="14" applyNumberFormat="1" applyFont="1" applyBorder="1" applyAlignment="1">
      <alignment horizontal="center" vertical="center" wrapText="1"/>
    </xf>
    <xf numFmtId="0" fontId="42" fillId="0" borderId="23" xfId="14" applyFont="1" applyFill="1" applyBorder="1" applyAlignment="1">
      <alignment vertical="center" wrapText="1"/>
    </xf>
    <xf numFmtId="49" fontId="35" fillId="6" borderId="54" xfId="14" applyNumberFormat="1" applyFont="1" applyFill="1" applyBorder="1" applyAlignment="1">
      <alignment horizontal="center" vertical="center" wrapText="1"/>
    </xf>
    <xf numFmtId="49" fontId="8" fillId="8" borderId="35" xfId="14" applyNumberFormat="1" applyFont="1" applyFill="1" applyBorder="1" applyAlignment="1">
      <alignment horizontal="left" vertical="center" wrapText="1"/>
    </xf>
    <xf numFmtId="0" fontId="12" fillId="0" borderId="15" xfId="14" quotePrefix="1" applyFont="1" applyFill="1" applyBorder="1" applyAlignment="1">
      <alignment horizontal="center" vertical="center" wrapText="1"/>
    </xf>
    <xf numFmtId="0" fontId="42" fillId="0" borderId="23" xfId="14" applyFont="1" applyBorder="1" applyAlignment="1">
      <alignment vertical="center" wrapText="1"/>
    </xf>
    <xf numFmtId="49" fontId="9" fillId="7" borderId="4" xfId="14" applyNumberFormat="1" applyFont="1" applyFill="1" applyBorder="1" applyAlignment="1">
      <alignment horizontal="center" vertical="center" wrapText="1"/>
    </xf>
    <xf numFmtId="3" fontId="36" fillId="7" borderId="4" xfId="14" applyNumberFormat="1" applyFont="1" applyFill="1" applyBorder="1" applyAlignment="1">
      <alignment horizontal="right" vertical="center"/>
    </xf>
    <xf numFmtId="10" fontId="36" fillId="7" borderId="4" xfId="14" applyNumberFormat="1" applyFont="1" applyFill="1" applyBorder="1" applyAlignment="1">
      <alignment horizontal="right" vertical="center"/>
    </xf>
    <xf numFmtId="0" fontId="42" fillId="0" borderId="5" xfId="14" applyFont="1" applyFill="1" applyBorder="1" applyAlignment="1">
      <alignment vertical="center" wrapText="1"/>
    </xf>
    <xf numFmtId="0" fontId="35" fillId="6" borderId="15" xfId="14" applyFont="1" applyFill="1" applyBorder="1" applyAlignment="1">
      <alignment horizontal="center" vertical="center" wrapText="1"/>
    </xf>
    <xf numFmtId="0" fontId="35" fillId="6" borderId="64" xfId="14" applyFont="1" applyFill="1" applyBorder="1" applyAlignment="1">
      <alignment horizontal="center" vertical="center" wrapText="1"/>
    </xf>
    <xf numFmtId="3" fontId="39" fillId="0" borderId="102" xfId="14" applyNumberFormat="1" applyFont="1" applyFill="1" applyBorder="1" applyAlignment="1">
      <alignment horizontal="right" vertical="center"/>
    </xf>
    <xf numFmtId="10" fontId="39" fillId="0" borderId="102" xfId="14" applyNumberFormat="1" applyFont="1" applyFill="1" applyBorder="1" applyAlignment="1">
      <alignment horizontal="right" vertical="center"/>
    </xf>
    <xf numFmtId="0" fontId="12" fillId="0" borderId="14" xfId="14" quotePrefix="1" applyFont="1" applyFill="1" applyBorder="1" applyAlignment="1">
      <alignment horizontal="center" vertical="center" wrapText="1"/>
    </xf>
    <xf numFmtId="0" fontId="8" fillId="8" borderId="35" xfId="14" quotePrefix="1" applyFont="1" applyFill="1" applyBorder="1" applyAlignment="1">
      <alignment horizontal="left" vertical="center" wrapText="1"/>
    </xf>
    <xf numFmtId="49" fontId="12" fillId="4" borderId="4" xfId="14" applyNumberFormat="1" applyFont="1" applyFill="1" applyBorder="1" applyAlignment="1">
      <alignment horizontal="center" vertical="center" wrapText="1"/>
    </xf>
    <xf numFmtId="49" fontId="12" fillId="4" borderId="18" xfId="14" applyNumberFormat="1" applyFont="1" applyFill="1" applyBorder="1" applyAlignment="1">
      <alignment horizontal="center" vertical="center" wrapText="1"/>
    </xf>
    <xf numFmtId="49" fontId="26" fillId="4" borderId="24" xfId="14" applyNumberFormat="1" applyFont="1" applyFill="1" applyBorder="1" applyAlignment="1">
      <alignment horizontal="left" vertical="center" wrapText="1"/>
    </xf>
    <xf numFmtId="49" fontId="12" fillId="4" borderId="43" xfId="14" applyNumberFormat="1" applyFont="1" applyFill="1" applyBorder="1" applyAlignment="1">
      <alignment horizontal="left" vertical="center" wrapText="1"/>
    </xf>
    <xf numFmtId="3" fontId="36" fillId="4" borderId="15" xfId="14" applyNumberFormat="1" applyFont="1" applyFill="1" applyBorder="1" applyAlignment="1">
      <alignment horizontal="right" vertical="center"/>
    </xf>
    <xf numFmtId="10" fontId="36" fillId="4" borderId="15" xfId="14" applyNumberFormat="1" applyFont="1" applyFill="1" applyBorder="1" applyAlignment="1">
      <alignment horizontal="right" vertical="center"/>
    </xf>
    <xf numFmtId="0" fontId="24" fillId="0" borderId="0" xfId="14" applyFont="1"/>
    <xf numFmtId="49" fontId="9" fillId="7" borderId="12" xfId="14" applyNumberFormat="1" applyFont="1" applyFill="1" applyBorder="1" applyAlignment="1">
      <alignment horizontal="center" vertical="center" wrapText="1"/>
    </xf>
    <xf numFmtId="0" fontId="42" fillId="0" borderId="2" xfId="14" applyFont="1" applyFill="1" applyBorder="1" applyAlignment="1">
      <alignment vertical="center" wrapText="1"/>
    </xf>
    <xf numFmtId="3" fontId="38" fillId="8" borderId="102" xfId="14" applyNumberFormat="1" applyFont="1" applyFill="1" applyBorder="1" applyAlignment="1">
      <alignment horizontal="right" vertical="center"/>
    </xf>
    <xf numFmtId="10" fontId="38" fillId="8" borderId="102" xfId="14" applyNumberFormat="1" applyFont="1" applyFill="1" applyBorder="1" applyAlignment="1">
      <alignment horizontal="right" vertical="center"/>
    </xf>
    <xf numFmtId="49" fontId="12" fillId="4" borderId="12" xfId="14" applyNumberFormat="1" applyFont="1" applyFill="1" applyBorder="1" applyAlignment="1">
      <alignment horizontal="center" vertical="center" wrapText="1"/>
    </xf>
    <xf numFmtId="49" fontId="26" fillId="4" borderId="9" xfId="14" applyNumberFormat="1" applyFont="1" applyFill="1" applyBorder="1" applyAlignment="1">
      <alignment horizontal="left" vertical="center" wrapText="1"/>
    </xf>
    <xf numFmtId="49" fontId="12" fillId="4" borderId="9" xfId="14" applyNumberFormat="1" applyFont="1" applyFill="1" applyBorder="1" applyAlignment="1">
      <alignment horizontal="left" vertical="center" wrapText="1"/>
    </xf>
    <xf numFmtId="3" fontId="36" fillId="4" borderId="4" xfId="14" applyNumberFormat="1" applyFont="1" applyFill="1" applyBorder="1" applyAlignment="1">
      <alignment horizontal="right" vertical="center"/>
    </xf>
    <xf numFmtId="10" fontId="36" fillId="4" borderId="4" xfId="14" applyNumberFormat="1" applyFont="1" applyFill="1" applyBorder="1" applyAlignment="1">
      <alignment horizontal="right" vertical="center"/>
    </xf>
    <xf numFmtId="49" fontId="9" fillId="7" borderId="10" xfId="14" applyNumberFormat="1" applyFont="1" applyFill="1" applyBorder="1" applyAlignment="1">
      <alignment horizontal="center" vertical="center" wrapText="1"/>
    </xf>
    <xf numFmtId="0" fontId="37" fillId="7" borderId="17" xfId="14" applyFont="1" applyFill="1" applyBorder="1" applyAlignment="1">
      <alignment vertical="center" wrapText="1"/>
    </xf>
    <xf numFmtId="0" fontId="9" fillId="7" borderId="11" xfId="14" applyFont="1" applyFill="1" applyBorder="1" applyAlignment="1">
      <alignment vertical="center" wrapText="1"/>
    </xf>
    <xf numFmtId="0" fontId="8" fillId="0" borderId="71" xfId="14" applyFont="1" applyFill="1" applyBorder="1" applyAlignment="1">
      <alignment horizontal="center" vertical="center" wrapText="1"/>
    </xf>
    <xf numFmtId="0" fontId="42" fillId="0" borderId="102" xfId="14" applyFont="1" applyFill="1" applyBorder="1" applyAlignment="1">
      <alignment vertical="center" wrapText="1"/>
    </xf>
    <xf numFmtId="3" fontId="38" fillId="8" borderId="14" xfId="14" applyNumberFormat="1" applyFont="1" applyFill="1" applyBorder="1" applyAlignment="1">
      <alignment horizontal="right" vertical="center"/>
    </xf>
    <xf numFmtId="10" fontId="38" fillId="8" borderId="14" xfId="14" applyNumberFormat="1" applyFont="1" applyFill="1" applyBorder="1" applyAlignment="1">
      <alignment horizontal="right" vertical="center"/>
    </xf>
    <xf numFmtId="49" fontId="9" fillId="7" borderId="8" xfId="14" applyNumberFormat="1" applyFont="1" applyFill="1" applyBorder="1" applyAlignment="1">
      <alignment horizontal="center" vertical="center" wrapText="1"/>
    </xf>
    <xf numFmtId="0" fontId="37" fillId="7" borderId="8" xfId="14" applyFont="1" applyFill="1" applyBorder="1" applyAlignment="1">
      <alignment vertical="center" wrapText="1"/>
    </xf>
    <xf numFmtId="0" fontId="9" fillId="7" borderId="48" xfId="14" applyFont="1" applyFill="1" applyBorder="1" applyAlignment="1">
      <alignment vertical="center" wrapText="1"/>
    </xf>
    <xf numFmtId="3" fontId="36" fillId="7" borderId="8" xfId="14" applyNumberFormat="1" applyFont="1" applyFill="1" applyBorder="1" applyAlignment="1">
      <alignment horizontal="right" vertical="center"/>
    </xf>
    <xf numFmtId="10" fontId="36" fillId="7" borderId="8" xfId="14" applyNumberFormat="1" applyFont="1" applyFill="1" applyBorder="1" applyAlignment="1">
      <alignment horizontal="right" vertical="center"/>
    </xf>
    <xf numFmtId="3" fontId="38" fillId="8" borderId="15" xfId="14" applyNumberFormat="1" applyFont="1" applyFill="1" applyBorder="1" applyAlignment="1">
      <alignment horizontal="right" vertical="center"/>
    </xf>
    <xf numFmtId="10" fontId="38" fillId="8" borderId="15" xfId="14" applyNumberFormat="1" applyFont="1" applyFill="1" applyBorder="1" applyAlignment="1">
      <alignment horizontal="right" vertical="center"/>
    </xf>
    <xf numFmtId="0" fontId="8" fillId="6" borderId="102" xfId="14" applyFont="1" applyFill="1" applyBorder="1" applyAlignment="1">
      <alignment vertical="center" wrapText="1"/>
    </xf>
    <xf numFmtId="0" fontId="23" fillId="0" borderId="71" xfId="14" quotePrefix="1" applyFont="1" applyFill="1" applyBorder="1" applyAlignment="1">
      <alignment horizontal="left" vertical="center" wrapText="1"/>
    </xf>
    <xf numFmtId="3" fontId="39" fillId="6" borderId="102" xfId="14" applyNumberFormat="1" applyFont="1" applyFill="1" applyBorder="1" applyAlignment="1">
      <alignment horizontal="right" vertical="center"/>
    </xf>
    <xf numFmtId="0" fontId="8" fillId="6" borderId="15" xfId="14" applyFont="1" applyFill="1" applyBorder="1" applyAlignment="1">
      <alignment vertical="center" wrapText="1"/>
    </xf>
    <xf numFmtId="0" fontId="23" fillId="0" borderId="63" xfId="14" quotePrefix="1" applyFont="1" applyFill="1" applyBorder="1" applyAlignment="1">
      <alignment horizontal="left" vertical="center" wrapText="1"/>
    </xf>
    <xf numFmtId="0" fontId="7" fillId="0" borderId="71" xfId="14" quotePrefix="1" applyFont="1" applyFill="1" applyBorder="1" applyAlignment="1">
      <alignment horizontal="left" vertical="center" wrapText="1"/>
    </xf>
    <xf numFmtId="0" fontId="7" fillId="6" borderId="63" xfId="14" quotePrefix="1" applyFont="1" applyFill="1" applyBorder="1" applyAlignment="1">
      <alignment horizontal="center" vertical="center" wrapText="1"/>
    </xf>
    <xf numFmtId="0" fontId="8" fillId="8" borderId="64" xfId="14" quotePrefix="1" applyFont="1" applyFill="1" applyBorder="1" applyAlignment="1">
      <alignment horizontal="left" vertical="center" wrapText="1"/>
    </xf>
    <xf numFmtId="0" fontId="8" fillId="6" borderId="14" xfId="14" applyFont="1" applyFill="1" applyBorder="1" applyAlignment="1">
      <alignment vertical="center" wrapText="1"/>
    </xf>
    <xf numFmtId="0" fontId="23" fillId="0" borderId="35" xfId="14" quotePrefix="1" applyFont="1" applyFill="1" applyBorder="1" applyAlignment="1">
      <alignment horizontal="left" vertical="center" wrapText="1"/>
    </xf>
    <xf numFmtId="0" fontId="7" fillId="6" borderId="35" xfId="14" quotePrefix="1" applyFont="1" applyFill="1" applyBorder="1" applyAlignment="1">
      <alignment horizontal="center" vertical="center" wrapText="1"/>
    </xf>
    <xf numFmtId="3" fontId="39" fillId="6" borderId="7" xfId="14" applyNumberFormat="1" applyFont="1" applyFill="1" applyBorder="1" applyAlignment="1">
      <alignment horizontal="right" vertical="center"/>
    </xf>
    <xf numFmtId="3" fontId="39" fillId="0" borderId="7" xfId="14" applyNumberFormat="1" applyFont="1" applyFill="1" applyBorder="1" applyAlignment="1">
      <alignment horizontal="right" vertical="center"/>
    </xf>
    <xf numFmtId="10" fontId="39" fillId="0" borderId="7" xfId="14" applyNumberFormat="1" applyFont="1" applyFill="1" applyBorder="1" applyAlignment="1">
      <alignment horizontal="right" vertical="center"/>
    </xf>
    <xf numFmtId="0" fontId="12" fillId="4" borderId="4" xfId="14" applyFont="1" applyFill="1" applyBorder="1" applyAlignment="1">
      <alignment horizontal="center" vertical="center" wrapText="1"/>
    </xf>
    <xf numFmtId="0" fontId="12" fillId="4" borderId="12" xfId="14" applyFont="1" applyFill="1" applyBorder="1" applyAlignment="1">
      <alignment horizontal="center" vertical="center" wrapText="1"/>
    </xf>
    <xf numFmtId="0" fontId="26" fillId="4" borderId="4" xfId="14" applyFont="1" applyFill="1" applyBorder="1" applyAlignment="1">
      <alignment vertical="center" wrapText="1"/>
    </xf>
    <xf numFmtId="0" fontId="40" fillId="7" borderId="12" xfId="14" applyFont="1" applyFill="1" applyBorder="1" applyAlignment="1">
      <alignment horizontal="center" vertical="center" wrapText="1"/>
    </xf>
    <xf numFmtId="0" fontId="8" fillId="8" borderId="8" xfId="14" quotePrefix="1" applyFont="1" applyFill="1" applyBorder="1" applyAlignment="1">
      <alignment horizontal="left" vertical="center" wrapText="1"/>
    </xf>
    <xf numFmtId="0" fontId="23" fillId="0" borderId="3" xfId="14" applyFont="1" applyFill="1" applyBorder="1" applyAlignment="1">
      <alignment vertical="center"/>
    </xf>
    <xf numFmtId="49" fontId="23" fillId="6" borderId="16" xfId="14" applyNumberFormat="1" applyFont="1" applyFill="1" applyBorder="1" applyAlignment="1">
      <alignment horizontal="center" vertical="center"/>
    </xf>
    <xf numFmtId="49" fontId="23" fillId="6" borderId="64" xfId="14" applyNumberFormat="1" applyFont="1" applyFill="1" applyBorder="1" applyAlignment="1">
      <alignment horizontal="center" vertical="center"/>
    </xf>
    <xf numFmtId="0" fontId="23" fillId="0" borderId="36" xfId="14" applyFont="1" applyFill="1" applyBorder="1" applyAlignment="1">
      <alignment horizontal="left" vertical="center" wrapText="1"/>
    </xf>
    <xf numFmtId="49" fontId="35" fillId="6" borderId="16" xfId="14" applyNumberFormat="1" applyFont="1" applyFill="1" applyBorder="1" applyAlignment="1">
      <alignment horizontal="center" vertical="center" wrapText="1"/>
    </xf>
    <xf numFmtId="0" fontId="23" fillId="0" borderId="5" xfId="14" applyFont="1" applyFill="1" applyBorder="1" applyAlignment="1">
      <alignment vertical="center" wrapText="1"/>
    </xf>
    <xf numFmtId="49" fontId="7" fillId="6" borderId="102" xfId="14" applyNumberFormat="1" applyFont="1" applyFill="1" applyBorder="1" applyAlignment="1">
      <alignment horizontal="center" vertical="center" wrapText="1"/>
    </xf>
    <xf numFmtId="0" fontId="23" fillId="0" borderId="36" xfId="14" applyFont="1" applyFill="1" applyBorder="1" applyAlignment="1">
      <alignment vertical="center" wrapText="1"/>
    </xf>
    <xf numFmtId="0" fontId="8" fillId="8" borderId="64" xfId="14" applyFont="1" applyFill="1" applyBorder="1" applyAlignment="1">
      <alignment horizontal="left" vertical="center" wrapText="1"/>
    </xf>
    <xf numFmtId="0" fontId="8" fillId="6" borderId="7" xfId="14" applyFont="1" applyFill="1" applyBorder="1" applyAlignment="1">
      <alignment horizontal="left" vertical="center" wrapText="1"/>
    </xf>
    <xf numFmtId="0" fontId="7" fillId="0" borderId="5" xfId="14" applyFont="1" applyFill="1" applyBorder="1" applyAlignment="1">
      <alignment horizontal="left" vertical="center" wrapText="1"/>
    </xf>
    <xf numFmtId="0" fontId="7" fillId="6" borderId="6" xfId="14" applyFont="1" applyFill="1" applyBorder="1" applyAlignment="1">
      <alignment horizontal="center" vertical="center" wrapText="1"/>
    </xf>
    <xf numFmtId="3" fontId="38" fillId="6" borderId="15" xfId="14" applyNumberFormat="1" applyFont="1" applyFill="1" applyBorder="1" applyAlignment="1">
      <alignment horizontal="right" vertical="center"/>
    </xf>
    <xf numFmtId="0" fontId="8" fillId="6" borderId="64" xfId="14" applyFont="1" applyFill="1" applyBorder="1" applyAlignment="1">
      <alignment horizontal="left" vertical="center" wrapText="1"/>
    </xf>
    <xf numFmtId="0" fontId="7" fillId="0" borderId="3" xfId="14" quotePrefix="1" applyFont="1" applyFill="1" applyBorder="1" applyAlignment="1">
      <alignment horizontal="left" vertical="center" wrapText="1"/>
    </xf>
    <xf numFmtId="3" fontId="38" fillId="6" borderId="16" xfId="14" applyNumberFormat="1" applyFont="1" applyFill="1" applyBorder="1" applyAlignment="1">
      <alignment horizontal="right" vertical="center"/>
    </xf>
    <xf numFmtId="0" fontId="24" fillId="6" borderId="0" xfId="14" applyFill="1"/>
    <xf numFmtId="0" fontId="8" fillId="6" borderId="18" xfId="14" applyFont="1" applyFill="1" applyBorder="1" applyAlignment="1">
      <alignment horizontal="left" vertical="center" wrapText="1"/>
    </xf>
    <xf numFmtId="0" fontId="7" fillId="0" borderId="24" xfId="14" applyFont="1" applyFill="1" applyBorder="1" applyAlignment="1">
      <alignment horizontal="left" vertical="center" wrapText="1"/>
    </xf>
    <xf numFmtId="0" fontId="7" fillId="6" borderId="43" xfId="14" applyFont="1" applyFill="1" applyBorder="1" applyAlignment="1">
      <alignment horizontal="center" vertical="center" wrapText="1"/>
    </xf>
    <xf numFmtId="0" fontId="9" fillId="7" borderId="12" xfId="14" applyFont="1" applyFill="1" applyBorder="1" applyAlignment="1">
      <alignment horizontal="center" vertical="center" wrapText="1"/>
    </xf>
    <xf numFmtId="0" fontId="37" fillId="7" borderId="9" xfId="14" applyFont="1" applyFill="1" applyBorder="1" applyAlignment="1">
      <alignment vertical="center" wrapText="1"/>
    </xf>
    <xf numFmtId="0" fontId="8" fillId="6" borderId="15" xfId="14" applyFont="1" applyFill="1" applyBorder="1" applyAlignment="1">
      <alignment horizontal="center" vertical="center" wrapText="1"/>
    </xf>
    <xf numFmtId="49" fontId="35" fillId="6" borderId="63" xfId="14" applyNumberFormat="1" applyFont="1" applyFill="1" applyBorder="1" applyAlignment="1">
      <alignment horizontal="center" vertical="center" wrapText="1"/>
    </xf>
    <xf numFmtId="0" fontId="8" fillId="8" borderId="43" xfId="14" quotePrefix="1" applyFont="1" applyFill="1" applyBorder="1" applyAlignment="1">
      <alignment horizontal="left" vertical="center" wrapText="1"/>
    </xf>
    <xf numFmtId="0" fontId="8" fillId="6" borderId="102" xfId="14" applyFont="1" applyFill="1" applyBorder="1" applyAlignment="1">
      <alignment horizontal="center" vertical="center" wrapText="1"/>
    </xf>
    <xf numFmtId="0" fontId="42" fillId="0" borderId="20" xfId="14" applyFont="1" applyFill="1" applyBorder="1" applyAlignment="1">
      <alignment horizontal="left" vertical="center" wrapText="1"/>
    </xf>
    <xf numFmtId="49" fontId="7" fillId="6" borderId="63" xfId="14" quotePrefix="1" applyNumberFormat="1" applyFont="1" applyFill="1" applyBorder="1" applyAlignment="1">
      <alignment horizontal="center" vertical="center" wrapText="1"/>
    </xf>
    <xf numFmtId="0" fontId="40" fillId="7" borderId="4" xfId="14" applyFont="1" applyFill="1" applyBorder="1" applyAlignment="1">
      <alignment horizontal="center" vertical="center" wrapText="1"/>
    </xf>
    <xf numFmtId="49" fontId="7" fillId="6" borderId="64" xfId="14" quotePrefix="1" applyNumberFormat="1" applyFont="1" applyFill="1" applyBorder="1" applyAlignment="1">
      <alignment horizontal="center" vertical="center" wrapText="1"/>
    </xf>
    <xf numFmtId="0" fontId="42" fillId="0" borderId="3" xfId="14" applyFont="1" applyFill="1" applyBorder="1" applyAlignment="1">
      <alignment horizontal="left" vertical="center" wrapText="1"/>
    </xf>
    <xf numFmtId="0" fontId="42" fillId="0" borderId="23" xfId="14" applyFont="1" applyFill="1" applyBorder="1" applyAlignment="1">
      <alignment horizontal="left" vertical="center" wrapText="1"/>
    </xf>
    <xf numFmtId="0" fontId="42" fillId="0" borderId="0" xfId="14" applyFont="1" applyFill="1" applyBorder="1" applyAlignment="1">
      <alignment horizontal="left" vertical="center" wrapText="1"/>
    </xf>
    <xf numFmtId="49" fontId="35" fillId="6" borderId="6" xfId="14" applyNumberFormat="1" applyFont="1" applyFill="1" applyBorder="1" applyAlignment="1">
      <alignment horizontal="center" vertical="center" wrapText="1"/>
    </xf>
    <xf numFmtId="0" fontId="35" fillId="6" borderId="2" xfId="14" applyFont="1" applyFill="1" applyBorder="1" applyAlignment="1">
      <alignment vertical="center" wrapText="1"/>
    </xf>
    <xf numFmtId="0" fontId="35" fillId="6" borderId="23" xfId="14" applyFont="1" applyFill="1" applyBorder="1" applyAlignment="1">
      <alignment vertical="center" wrapText="1"/>
    </xf>
    <xf numFmtId="0" fontId="35" fillId="6" borderId="54" xfId="14" applyFont="1" applyFill="1" applyBorder="1" applyAlignment="1">
      <alignment horizontal="center" vertical="center" wrapText="1"/>
    </xf>
    <xf numFmtId="0" fontId="9" fillId="7" borderId="13" xfId="14" applyFont="1" applyFill="1" applyBorder="1" applyAlignment="1">
      <alignment horizontal="center" vertical="center" wrapText="1"/>
    </xf>
    <xf numFmtId="0" fontId="37" fillId="7" borderId="4" xfId="14" applyFont="1" applyFill="1" applyBorder="1" applyAlignment="1">
      <alignment horizontal="left" vertical="center" wrapText="1"/>
    </xf>
    <xf numFmtId="0" fontId="7" fillId="7" borderId="43" xfId="14" quotePrefix="1" applyFont="1" applyFill="1" applyBorder="1" applyAlignment="1">
      <alignment horizontal="center" vertical="center" wrapText="1"/>
    </xf>
    <xf numFmtId="3" fontId="36" fillId="7" borderId="14" xfId="14" applyNumberFormat="1" applyFont="1" applyFill="1" applyBorder="1" applyAlignment="1">
      <alignment horizontal="right" vertical="center"/>
    </xf>
    <xf numFmtId="10" fontId="36" fillId="7" borderId="14" xfId="14" applyNumberFormat="1" applyFont="1" applyFill="1" applyBorder="1" applyAlignment="1">
      <alignment horizontal="right" vertical="center"/>
    </xf>
    <xf numFmtId="0" fontId="7" fillId="8" borderId="11" xfId="14" quotePrefix="1" applyFont="1" applyFill="1" applyBorder="1" applyAlignment="1">
      <alignment horizontal="center" vertical="center" wrapText="1"/>
    </xf>
    <xf numFmtId="3" fontId="39" fillId="8" borderId="17" xfId="14" applyNumberFormat="1" applyFont="1" applyFill="1" applyBorder="1" applyAlignment="1">
      <alignment horizontal="right" vertical="center"/>
    </xf>
    <xf numFmtId="10" fontId="39" fillId="8" borderId="17" xfId="14" applyNumberFormat="1" applyFont="1" applyFill="1" applyBorder="1" applyAlignment="1">
      <alignment horizontal="right" vertical="center"/>
    </xf>
    <xf numFmtId="0" fontId="23" fillId="0" borderId="64" xfId="14" applyFont="1" applyFill="1" applyBorder="1" applyAlignment="1">
      <alignment horizontal="left" vertical="center" wrapText="1"/>
    </xf>
    <xf numFmtId="49" fontId="7" fillId="6" borderId="63" xfId="14" applyNumberFormat="1" applyFont="1" applyFill="1" applyBorder="1" applyAlignment="1">
      <alignment horizontal="center" vertical="center" wrapText="1"/>
    </xf>
    <xf numFmtId="0" fontId="7" fillId="6" borderId="64" xfId="14" quotePrefix="1" applyFont="1" applyFill="1" applyBorder="1" applyAlignment="1">
      <alignment horizontal="center" vertical="center" wrapText="1"/>
    </xf>
    <xf numFmtId="0" fontId="23" fillId="0" borderId="102" xfId="14" applyFont="1" applyFill="1" applyBorder="1" applyAlignment="1">
      <alignment horizontal="left" vertical="center" wrapText="1"/>
    </xf>
    <xf numFmtId="0" fontId="7" fillId="6" borderId="71" xfId="14" quotePrefix="1" applyFont="1" applyFill="1" applyBorder="1" applyAlignment="1">
      <alignment horizontal="center" vertical="center" wrapText="1"/>
    </xf>
    <xf numFmtId="0" fontId="7" fillId="8" borderId="35" xfId="14" quotePrefix="1" applyFont="1" applyFill="1" applyBorder="1" applyAlignment="1">
      <alignment horizontal="center" vertical="center" wrapText="1"/>
    </xf>
    <xf numFmtId="0" fontId="43" fillId="4" borderId="4" xfId="14" applyFont="1" applyFill="1" applyBorder="1" applyAlignment="1">
      <alignment horizontal="center" vertical="center" wrapText="1"/>
    </xf>
    <xf numFmtId="0" fontId="43" fillId="4" borderId="12" xfId="14" applyFont="1" applyFill="1" applyBorder="1" applyAlignment="1">
      <alignment horizontal="center" vertical="center" wrapText="1"/>
    </xf>
    <xf numFmtId="0" fontId="44" fillId="4" borderId="4" xfId="14" applyFont="1" applyFill="1" applyBorder="1" applyAlignment="1">
      <alignment vertical="center" wrapText="1"/>
    </xf>
    <xf numFmtId="0" fontId="43" fillId="4" borderId="43" xfId="14" applyFont="1" applyFill="1" applyBorder="1" applyAlignment="1">
      <alignment vertical="center" wrapText="1"/>
    </xf>
    <xf numFmtId="0" fontId="7" fillId="7" borderId="9" xfId="14" quotePrefix="1" applyFont="1" applyFill="1" applyBorder="1" applyAlignment="1">
      <alignment horizontal="center" vertical="center" wrapText="1"/>
    </xf>
    <xf numFmtId="0" fontId="7" fillId="8" borderId="48" xfId="14" quotePrefix="1" applyFont="1" applyFill="1" applyBorder="1" applyAlignment="1">
      <alignment horizontal="center" vertical="center" wrapText="1"/>
    </xf>
    <xf numFmtId="0" fontId="8" fillId="6" borderId="16" xfId="14" applyFont="1" applyFill="1" applyBorder="1" applyAlignment="1">
      <alignment horizontal="left" vertical="center" wrapText="1"/>
    </xf>
    <xf numFmtId="0" fontId="23" fillId="0" borderId="15" xfId="14" applyFont="1" applyFill="1" applyBorder="1" applyAlignment="1">
      <alignment horizontal="left" vertical="center" wrapText="1"/>
    </xf>
    <xf numFmtId="0" fontId="7" fillId="6" borderId="6" xfId="14" quotePrefix="1" applyFont="1" applyFill="1" applyBorder="1" applyAlignment="1">
      <alignment horizontal="center" vertical="center" wrapText="1"/>
    </xf>
    <xf numFmtId="0" fontId="8" fillId="8" borderId="102" xfId="14" quotePrefix="1" applyFont="1" applyFill="1" applyBorder="1" applyAlignment="1">
      <alignment horizontal="left" vertical="center" wrapText="1"/>
    </xf>
    <xf numFmtId="0" fontId="43" fillId="4" borderId="4" xfId="14" applyFont="1" applyFill="1" applyBorder="1" applyAlignment="1">
      <alignment vertical="center" wrapText="1"/>
    </xf>
    <xf numFmtId="0" fontId="8" fillId="8" borderId="54" xfId="14" quotePrefix="1" applyFont="1" applyFill="1" applyBorder="1" applyAlignment="1">
      <alignment horizontal="left" vertical="center" wrapText="1"/>
    </xf>
    <xf numFmtId="3" fontId="38" fillId="8" borderId="16" xfId="14" applyNumberFormat="1" applyFont="1" applyFill="1" applyBorder="1" applyAlignment="1">
      <alignment horizontal="right" vertical="center"/>
    </xf>
    <xf numFmtId="10" fontId="38" fillId="8" borderId="16" xfId="14" applyNumberFormat="1" applyFont="1" applyFill="1" applyBorder="1" applyAlignment="1">
      <alignment horizontal="right" vertical="center"/>
    </xf>
    <xf numFmtId="0" fontId="42" fillId="0" borderId="36" xfId="14" applyFont="1" applyFill="1" applyBorder="1" applyAlignment="1">
      <alignment vertical="center" wrapText="1"/>
    </xf>
    <xf numFmtId="0" fontId="42" fillId="0" borderId="55" xfId="14" applyFont="1" applyFill="1" applyBorder="1" applyAlignment="1">
      <alignment vertical="center" wrapText="1"/>
    </xf>
    <xf numFmtId="0" fontId="42" fillId="0" borderId="0" xfId="14" applyFont="1" applyFill="1" applyBorder="1" applyAlignment="1">
      <alignment vertical="center" wrapText="1"/>
    </xf>
    <xf numFmtId="49" fontId="35" fillId="6" borderId="102" xfId="14" applyNumberFormat="1" applyFont="1" applyFill="1" applyBorder="1" applyAlignment="1">
      <alignment horizontal="center" vertical="center" wrapText="1"/>
    </xf>
    <xf numFmtId="0" fontId="40" fillId="4" borderId="4" xfId="14" applyFont="1" applyFill="1" applyBorder="1" applyAlignment="1">
      <alignment horizontal="center" vertical="center" wrapText="1"/>
    </xf>
    <xf numFmtId="0" fontId="43" fillId="4" borderId="9" xfId="14" applyFont="1" applyFill="1" applyBorder="1" applyAlignment="1">
      <alignment vertical="center" wrapText="1"/>
    </xf>
    <xf numFmtId="49" fontId="35" fillId="6" borderId="64" xfId="14" applyNumberFormat="1" applyFont="1" applyFill="1" applyBorder="1" applyAlignment="1">
      <alignment horizontal="center" vertical="center" wrapText="1"/>
    </xf>
    <xf numFmtId="0" fontId="8" fillId="0" borderId="55" xfId="14" applyFont="1" applyFill="1" applyBorder="1" applyAlignment="1">
      <alignment horizontal="center" vertical="center" wrapText="1"/>
    </xf>
    <xf numFmtId="0" fontId="7" fillId="6" borderId="54" xfId="14" quotePrefix="1" applyFont="1" applyFill="1" applyBorder="1" applyAlignment="1">
      <alignment horizontal="center" vertical="center" wrapText="1"/>
    </xf>
    <xf numFmtId="0" fontId="40" fillId="7" borderId="9" xfId="14" applyFont="1" applyFill="1" applyBorder="1" applyAlignment="1">
      <alignment horizontal="center" vertical="center" wrapText="1"/>
    </xf>
    <xf numFmtId="0" fontId="42" fillId="6" borderId="3" xfId="14" applyFont="1" applyFill="1" applyBorder="1" applyAlignment="1">
      <alignment horizontal="left" vertical="center" wrapText="1"/>
    </xf>
    <xf numFmtId="0" fontId="42" fillId="0" borderId="2" xfId="14" applyFont="1" applyBorder="1" applyAlignment="1">
      <alignment vertical="center" wrapText="1"/>
    </xf>
    <xf numFmtId="49" fontId="45" fillId="8" borderId="6" xfId="14" applyNumberFormat="1" applyFont="1" applyFill="1" applyBorder="1" applyAlignment="1">
      <alignment vertical="center" wrapText="1"/>
    </xf>
    <xf numFmtId="0" fontId="40" fillId="0" borderId="5" xfId="14" applyFont="1" applyBorder="1" applyAlignment="1">
      <alignment horizontal="center" vertical="center" wrapText="1"/>
    </xf>
    <xf numFmtId="0" fontId="42" fillId="0" borderId="0" xfId="14" applyFont="1" applyBorder="1" applyAlignment="1">
      <alignment vertical="center" wrapText="1"/>
    </xf>
    <xf numFmtId="0" fontId="35" fillId="6" borderId="6" xfId="14" applyFont="1" applyFill="1" applyBorder="1" applyAlignment="1">
      <alignment horizontal="center" vertical="center" wrapText="1"/>
    </xf>
    <xf numFmtId="0" fontId="8" fillId="8" borderId="63" xfId="14" quotePrefix="1" applyFont="1" applyFill="1" applyBorder="1" applyAlignment="1">
      <alignment horizontal="center" vertical="center" wrapText="1"/>
    </xf>
    <xf numFmtId="0" fontId="12" fillId="4" borderId="4" xfId="14" applyFont="1" applyFill="1" applyBorder="1" applyAlignment="1">
      <alignment vertical="center" wrapText="1"/>
    </xf>
    <xf numFmtId="0" fontId="26" fillId="4" borderId="12" xfId="14" applyFont="1" applyFill="1" applyBorder="1" applyAlignment="1">
      <alignment vertical="center" wrapText="1"/>
    </xf>
    <xf numFmtId="0" fontId="12" fillId="4" borderId="9" xfId="14" applyFont="1" applyFill="1" applyBorder="1" applyAlignment="1">
      <alignment horizontal="left" vertical="center" wrapText="1"/>
    </xf>
    <xf numFmtId="0" fontId="46" fillId="0" borderId="0" xfId="14" applyFont="1"/>
    <xf numFmtId="0" fontId="40" fillId="7" borderId="18" xfId="14" applyFont="1" applyFill="1" applyBorder="1" applyAlignment="1">
      <alignment horizontal="center" vertical="center" wrapText="1"/>
    </xf>
    <xf numFmtId="0" fontId="8" fillId="6" borderId="16" xfId="14" applyFont="1" applyFill="1" applyBorder="1" applyAlignment="1">
      <alignment horizontal="center" vertical="center" wrapText="1"/>
    </xf>
    <xf numFmtId="0" fontId="23" fillId="0" borderId="3" xfId="14" applyFont="1" applyFill="1" applyBorder="1" applyAlignment="1">
      <alignment horizontal="left" vertical="center" wrapText="1"/>
    </xf>
    <xf numFmtId="49" fontId="7" fillId="6" borderId="15" xfId="14" applyNumberFormat="1" applyFont="1" applyFill="1" applyBorder="1" applyAlignment="1">
      <alignment horizontal="center" vertical="center" wrapText="1"/>
    </xf>
    <xf numFmtId="49" fontId="8" fillId="8" borderId="63" xfId="14" quotePrefix="1" applyNumberFormat="1" applyFont="1" applyFill="1" applyBorder="1" applyAlignment="1">
      <alignment horizontal="center" vertical="center" wrapText="1"/>
    </xf>
    <xf numFmtId="0" fontId="40" fillId="4" borderId="12" xfId="14" applyFont="1" applyFill="1" applyBorder="1" applyAlignment="1">
      <alignment horizontal="center" vertical="center" wrapText="1"/>
    </xf>
    <xf numFmtId="0" fontId="44" fillId="4" borderId="13" xfId="14" applyFont="1" applyFill="1" applyBorder="1" applyAlignment="1">
      <alignment vertical="center" wrapText="1"/>
    </xf>
    <xf numFmtId="3" fontId="36" fillId="3" borderId="17" xfId="14" applyNumberFormat="1" applyFont="1" applyFill="1" applyBorder="1" applyAlignment="1">
      <alignment horizontal="right" vertical="center"/>
    </xf>
    <xf numFmtId="10" fontId="36" fillId="3" borderId="17" xfId="14" applyNumberFormat="1" applyFont="1" applyFill="1" applyBorder="1" applyAlignment="1">
      <alignment horizontal="right" vertical="center"/>
    </xf>
    <xf numFmtId="0" fontId="41" fillId="7" borderId="13" xfId="14" applyFont="1" applyFill="1" applyBorder="1" applyAlignment="1">
      <alignment vertical="center" wrapText="1"/>
    </xf>
    <xf numFmtId="0" fontId="7" fillId="0" borderId="23" xfId="14" quotePrefix="1" applyFont="1" applyFill="1" applyBorder="1" applyAlignment="1">
      <alignment horizontal="left" vertical="center" wrapText="1"/>
    </xf>
    <xf numFmtId="0" fontId="42" fillId="0" borderId="3" xfId="14" applyFont="1" applyFill="1" applyBorder="1" applyAlignment="1">
      <alignment vertical="center" wrapText="1"/>
    </xf>
    <xf numFmtId="0" fontId="35" fillId="0" borderId="15" xfId="14" applyFont="1" applyBorder="1" applyAlignment="1">
      <alignment horizontal="center" vertical="center" wrapText="1"/>
    </xf>
    <xf numFmtId="0" fontId="9" fillId="7" borderId="4" xfId="14" applyFont="1" applyFill="1" applyBorder="1" applyAlignment="1">
      <alignment horizontal="center" vertical="center" wrapText="1"/>
    </xf>
    <xf numFmtId="0" fontId="37" fillId="7" borderId="24" xfId="14" quotePrefix="1" applyFont="1" applyFill="1" applyBorder="1" applyAlignment="1">
      <alignment horizontal="left" vertical="center" wrapText="1"/>
    </xf>
    <xf numFmtId="0" fontId="8" fillId="7" borderId="43" xfId="14" quotePrefix="1" applyFont="1" applyFill="1" applyBorder="1" applyAlignment="1">
      <alignment horizontal="left" vertical="center" wrapText="1"/>
    </xf>
    <xf numFmtId="10" fontId="39" fillId="6" borderId="102" xfId="14" applyNumberFormat="1" applyFont="1" applyFill="1" applyBorder="1" applyAlignment="1">
      <alignment horizontal="right" vertical="center"/>
    </xf>
    <xf numFmtId="0" fontId="8" fillId="8" borderId="71" xfId="14" quotePrefix="1" applyFont="1" applyFill="1" applyBorder="1" applyAlignment="1">
      <alignment horizontal="left" vertical="center" wrapText="1"/>
    </xf>
    <xf numFmtId="0" fontId="37" fillId="7" borderId="13" xfId="14" quotePrefix="1" applyFont="1" applyFill="1" applyBorder="1" applyAlignment="1">
      <alignment horizontal="left" vertical="center" wrapText="1"/>
    </xf>
    <xf numFmtId="0" fontId="8" fillId="7" borderId="9" xfId="14" quotePrefix="1" applyFont="1" applyFill="1" applyBorder="1" applyAlignment="1">
      <alignment horizontal="left" vertical="center" wrapText="1"/>
    </xf>
    <xf numFmtId="0" fontId="8" fillId="6" borderId="64" xfId="14" applyFont="1" applyFill="1" applyBorder="1" applyAlignment="1">
      <alignment horizontal="left" vertical="center"/>
    </xf>
    <xf numFmtId="0" fontId="7" fillId="6" borderId="36" xfId="14" quotePrefix="1" applyFont="1" applyFill="1" applyBorder="1" applyAlignment="1">
      <alignment horizontal="left" vertical="center" wrapText="1"/>
    </xf>
    <xf numFmtId="0" fontId="7" fillId="6" borderId="23" xfId="14" quotePrefix="1" applyFont="1" applyFill="1" applyBorder="1" applyAlignment="1">
      <alignment horizontal="center" vertical="center" wrapText="1"/>
    </xf>
    <xf numFmtId="10" fontId="39" fillId="6" borderId="64" xfId="14" applyNumberFormat="1" applyFont="1" applyFill="1" applyBorder="1" applyAlignment="1">
      <alignment horizontal="right" vertical="center"/>
    </xf>
    <xf numFmtId="0" fontId="8" fillId="6" borderId="7" xfId="14" applyFont="1" applyFill="1" applyBorder="1" applyAlignment="1">
      <alignment horizontal="left" vertical="center"/>
    </xf>
    <xf numFmtId="0" fontId="7" fillId="6" borderId="61" xfId="14" applyFont="1" applyFill="1" applyBorder="1" applyAlignment="1">
      <alignment horizontal="left" vertical="center" wrapText="1"/>
    </xf>
    <xf numFmtId="0" fontId="7" fillId="6" borderId="62" xfId="14" quotePrefix="1" applyFont="1" applyFill="1" applyBorder="1" applyAlignment="1">
      <alignment horizontal="center" vertical="center" wrapText="1"/>
    </xf>
    <xf numFmtId="10" fontId="39" fillId="6" borderId="7" xfId="14" applyNumberFormat="1" applyFont="1" applyFill="1" applyBorder="1" applyAlignment="1">
      <alignment horizontal="right" vertical="center"/>
    </xf>
    <xf numFmtId="0" fontId="37" fillId="7" borderId="4" xfId="14" quotePrefix="1" applyFont="1" applyFill="1" applyBorder="1" applyAlignment="1">
      <alignment horizontal="left" vertical="center" wrapText="1"/>
    </xf>
    <xf numFmtId="0" fontId="8" fillId="7" borderId="13" xfId="14" quotePrefix="1" applyFont="1" applyFill="1" applyBorder="1" applyAlignment="1">
      <alignment horizontal="left" vertical="center" wrapText="1"/>
    </xf>
    <xf numFmtId="0" fontId="9" fillId="6" borderId="102" xfId="14" applyFont="1" applyFill="1" applyBorder="1" applyAlignment="1">
      <alignment horizontal="center" vertical="center" wrapText="1"/>
    </xf>
    <xf numFmtId="0" fontId="23" fillId="0" borderId="0" xfId="14" quotePrefix="1" applyFont="1" applyFill="1" applyBorder="1" applyAlignment="1">
      <alignment horizontal="left" vertical="center" wrapText="1"/>
    </xf>
    <xf numFmtId="0" fontId="7" fillId="6" borderId="102" xfId="14" quotePrefix="1" applyFont="1" applyFill="1" applyBorder="1" applyAlignment="1">
      <alignment horizontal="center" vertical="center" wrapText="1"/>
    </xf>
    <xf numFmtId="0" fontId="8" fillId="8" borderId="62" xfId="14" quotePrefix="1" applyFont="1" applyFill="1" applyBorder="1" applyAlignment="1">
      <alignment horizontal="left" vertical="center" wrapText="1"/>
    </xf>
    <xf numFmtId="0" fontId="7" fillId="6" borderId="0" xfId="14" quotePrefix="1" applyFont="1" applyFill="1" applyBorder="1" applyAlignment="1">
      <alignment horizontal="left" vertical="center" wrapText="1"/>
    </xf>
    <xf numFmtId="49" fontId="7" fillId="6" borderId="102" xfId="14" quotePrefix="1" applyNumberFormat="1" applyFont="1" applyFill="1" applyBorder="1" applyAlignment="1">
      <alignment horizontal="center" vertical="center" wrapText="1"/>
    </xf>
    <xf numFmtId="10" fontId="39" fillId="6" borderId="16" xfId="14" applyNumberFormat="1" applyFont="1" applyFill="1" applyBorder="1" applyAlignment="1">
      <alignment horizontal="right" vertical="center"/>
    </xf>
    <xf numFmtId="0" fontId="23" fillId="0" borderId="71" xfId="14" applyFont="1" applyFill="1" applyBorder="1" applyAlignment="1">
      <alignment wrapText="1"/>
    </xf>
    <xf numFmtId="0" fontId="23" fillId="0" borderId="64" xfId="14" applyFont="1" applyFill="1" applyBorder="1" applyAlignment="1">
      <alignment wrapText="1"/>
    </xf>
    <xf numFmtId="0" fontId="23" fillId="0" borderId="5" xfId="14" quotePrefix="1" applyFont="1" applyFill="1" applyBorder="1" applyAlignment="1">
      <alignment horizontal="left" vertical="center" wrapText="1"/>
    </xf>
    <xf numFmtId="0" fontId="23" fillId="0" borderId="64" xfId="14" quotePrefix="1" applyFont="1" applyFill="1" applyBorder="1" applyAlignment="1">
      <alignment horizontal="left" vertical="center" wrapText="1"/>
    </xf>
    <xf numFmtId="0" fontId="23" fillId="6" borderId="20" xfId="14" quotePrefix="1" applyFont="1" applyFill="1" applyBorder="1" applyAlignment="1">
      <alignment vertical="center" wrapText="1"/>
    </xf>
    <xf numFmtId="0" fontId="23" fillId="6" borderId="20" xfId="14" quotePrefix="1" applyFont="1" applyFill="1" applyBorder="1" applyAlignment="1">
      <alignment horizontal="left" vertical="center" wrapText="1"/>
    </xf>
    <xf numFmtId="0" fontId="23" fillId="6" borderId="36" xfId="14" quotePrefix="1" applyFont="1" applyFill="1" applyBorder="1" applyAlignment="1">
      <alignment vertical="center" wrapText="1"/>
    </xf>
    <xf numFmtId="0" fontId="8" fillId="0" borderId="7" xfId="14" applyFont="1" applyBorder="1" applyAlignment="1">
      <alignment horizontal="center" vertical="center" wrapText="1"/>
    </xf>
    <xf numFmtId="0" fontId="23" fillId="0" borderId="7" xfId="14" quotePrefix="1" applyFont="1" applyFill="1" applyBorder="1" applyAlignment="1">
      <alignment vertical="center" wrapText="1"/>
    </xf>
    <xf numFmtId="0" fontId="7" fillId="6" borderId="7" xfId="14" quotePrefix="1" applyFont="1" applyFill="1" applyBorder="1" applyAlignment="1">
      <alignment horizontal="center" vertical="center" wrapText="1"/>
    </xf>
    <xf numFmtId="0" fontId="43" fillId="6" borderId="15" xfId="14" applyFont="1" applyFill="1" applyBorder="1" applyAlignment="1">
      <alignment horizontal="center" vertical="center" wrapText="1"/>
    </xf>
    <xf numFmtId="0" fontId="8" fillId="8" borderId="11" xfId="14" applyFont="1" applyFill="1" applyBorder="1" applyAlignment="1">
      <alignment horizontal="left" vertical="center" wrapText="1"/>
    </xf>
    <xf numFmtId="0" fontId="7" fillId="6" borderId="23" xfId="14" applyFont="1" applyFill="1" applyBorder="1" applyAlignment="1">
      <alignment horizontal="left" vertical="center" wrapText="1"/>
    </xf>
    <xf numFmtId="0" fontId="7" fillId="6" borderId="63" xfId="14" applyFont="1" applyFill="1" applyBorder="1" applyAlignment="1">
      <alignment horizontal="center" vertical="center" wrapText="1"/>
    </xf>
    <xf numFmtId="0" fontId="8" fillId="8" borderId="35" xfId="14" applyFont="1" applyFill="1" applyBorder="1" applyAlignment="1">
      <alignment horizontal="left" vertical="center" wrapText="1"/>
    </xf>
    <xf numFmtId="0" fontId="8" fillId="8" borderId="48" xfId="14" applyFont="1" applyFill="1" applyBorder="1" applyAlignment="1">
      <alignment horizontal="left" vertical="center" wrapText="1"/>
    </xf>
    <xf numFmtId="0" fontId="7" fillId="0" borderId="3" xfId="14" applyFont="1" applyFill="1" applyBorder="1" applyAlignment="1">
      <alignment horizontal="left" vertical="center" wrapText="1"/>
    </xf>
    <xf numFmtId="0" fontId="42" fillId="0" borderId="64" xfId="14" applyFont="1" applyFill="1" applyBorder="1" applyAlignment="1">
      <alignment vertical="center" wrapText="1"/>
    </xf>
    <xf numFmtId="0" fontId="8" fillId="8" borderId="54" xfId="14" applyFont="1" applyFill="1" applyBorder="1" applyAlignment="1">
      <alignment horizontal="left" vertical="center" wrapText="1"/>
    </xf>
    <xf numFmtId="0" fontId="43" fillId="4" borderId="4" xfId="1" applyFont="1" applyFill="1" applyBorder="1" applyAlignment="1">
      <alignment horizontal="center" vertical="center" wrapText="1"/>
    </xf>
    <xf numFmtId="0" fontId="43" fillId="4" borderId="12" xfId="1" applyFont="1" applyFill="1" applyBorder="1" applyAlignment="1">
      <alignment horizontal="center" vertical="center" wrapText="1"/>
    </xf>
    <xf numFmtId="0" fontId="44" fillId="4" borderId="4" xfId="1" applyFont="1" applyFill="1" applyBorder="1" applyAlignment="1">
      <alignment vertical="center" wrapText="1"/>
    </xf>
    <xf numFmtId="0" fontId="47" fillId="4" borderId="9" xfId="1" applyFont="1" applyFill="1" applyBorder="1" applyAlignment="1">
      <alignment vertical="center" wrapText="1"/>
    </xf>
    <xf numFmtId="0" fontId="40" fillId="7" borderId="12" xfId="1" applyFont="1" applyFill="1" applyBorder="1" applyAlignment="1">
      <alignment horizontal="center" vertical="center" wrapText="1"/>
    </xf>
    <xf numFmtId="0" fontId="41" fillId="7" borderId="4" xfId="1" applyFont="1" applyFill="1" applyBorder="1" applyAlignment="1">
      <alignment vertical="center" wrapText="1"/>
    </xf>
    <xf numFmtId="0" fontId="48" fillId="7" borderId="9" xfId="1" applyFont="1" applyFill="1" applyBorder="1" applyAlignment="1">
      <alignment vertical="center" wrapText="1"/>
    </xf>
    <xf numFmtId="0" fontId="8" fillId="8" borderId="54" xfId="1" applyFont="1" applyFill="1" applyBorder="1" applyAlignment="1">
      <alignment horizontal="left" vertical="center" wrapText="1"/>
    </xf>
    <xf numFmtId="0" fontId="40" fillId="6" borderId="36" xfId="1" applyFont="1" applyFill="1" applyBorder="1" applyAlignment="1">
      <alignment horizontal="center" vertical="center" wrapText="1"/>
    </xf>
    <xf numFmtId="0" fontId="42" fillId="0" borderId="23" xfId="1" applyFont="1" applyFill="1" applyBorder="1" applyAlignment="1">
      <alignment vertical="center" wrapText="1"/>
    </xf>
    <xf numFmtId="0" fontId="49" fillId="6" borderId="63" xfId="1" applyFont="1" applyFill="1" applyBorder="1" applyAlignment="1">
      <alignment horizontal="center" vertical="center" wrapText="1"/>
    </xf>
    <xf numFmtId="0" fontId="8" fillId="8" borderId="71" xfId="1" applyFont="1" applyFill="1" applyBorder="1" applyAlignment="1">
      <alignment horizontal="left" vertical="center" wrapText="1"/>
    </xf>
    <xf numFmtId="0" fontId="49" fillId="8" borderId="63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7" fillId="6" borderId="71" xfId="1" applyFont="1" applyFill="1" applyBorder="1" applyAlignment="1">
      <alignment horizontal="center" vertical="center" wrapText="1"/>
    </xf>
    <xf numFmtId="3" fontId="39" fillId="6" borderId="15" xfId="14" applyNumberFormat="1" applyFont="1" applyFill="1" applyBorder="1" applyAlignment="1">
      <alignment horizontal="right" vertical="center"/>
    </xf>
    <xf numFmtId="0" fontId="8" fillId="8" borderId="63" xfId="1" applyFont="1" applyFill="1" applyBorder="1" applyAlignment="1">
      <alignment horizontal="left" vertical="center" wrapText="1"/>
    </xf>
    <xf numFmtId="0" fontId="40" fillId="7" borderId="18" xfId="1" applyFont="1" applyFill="1" applyBorder="1" applyAlignment="1">
      <alignment horizontal="center" vertical="center" wrapText="1"/>
    </xf>
    <xf numFmtId="0" fontId="41" fillId="7" borderId="14" xfId="1" applyFont="1" applyFill="1" applyBorder="1" applyAlignment="1">
      <alignment vertical="center" wrapText="1"/>
    </xf>
    <xf numFmtId="0" fontId="48" fillId="7" borderId="43" xfId="1" applyFont="1" applyFill="1" applyBorder="1" applyAlignment="1">
      <alignment vertical="center" wrapText="1"/>
    </xf>
    <xf numFmtId="0" fontId="42" fillId="6" borderId="23" xfId="1" applyFont="1" applyFill="1" applyBorder="1" applyAlignment="1">
      <alignment vertical="center" wrapText="1"/>
    </xf>
    <xf numFmtId="49" fontId="49" fillId="6" borderId="63" xfId="1" applyNumberFormat="1" applyFont="1" applyFill="1" applyBorder="1" applyAlignment="1">
      <alignment horizontal="center" vertical="center" wrapText="1"/>
    </xf>
    <xf numFmtId="0" fontId="8" fillId="8" borderId="6" xfId="1" applyFont="1" applyFill="1" applyBorder="1" applyAlignment="1">
      <alignment horizontal="left" vertical="center" wrapText="1"/>
    </xf>
    <xf numFmtId="0" fontId="42" fillId="0" borderId="63" xfId="1" applyFont="1" applyFill="1" applyBorder="1" applyAlignment="1">
      <alignment vertical="center" wrapText="1"/>
    </xf>
    <xf numFmtId="0" fontId="41" fillId="7" borderId="12" xfId="1" applyFont="1" applyFill="1" applyBorder="1" applyAlignment="1">
      <alignment horizontal="center" vertical="center" wrapText="1"/>
    </xf>
    <xf numFmtId="0" fontId="41" fillId="7" borderId="9" xfId="1" applyFont="1" applyFill="1" applyBorder="1" applyAlignment="1">
      <alignment vertical="center" wrapText="1"/>
    </xf>
    <xf numFmtId="0" fontId="50" fillId="8" borderId="6" xfId="1" applyFont="1" applyFill="1" applyBorder="1" applyAlignment="1">
      <alignment horizontal="left" vertical="center" wrapText="1"/>
    </xf>
    <xf numFmtId="0" fontId="23" fillId="6" borderId="64" xfId="1" applyFont="1" applyFill="1" applyBorder="1" applyAlignment="1">
      <alignment vertical="center" wrapText="1"/>
    </xf>
    <xf numFmtId="0" fontId="23" fillId="6" borderId="64" xfId="1" applyFont="1" applyFill="1" applyBorder="1" applyAlignment="1">
      <alignment horizontal="center" vertical="center" wrapText="1"/>
    </xf>
    <xf numFmtId="0" fontId="23" fillId="6" borderId="63" xfId="1" applyFont="1" applyFill="1" applyBorder="1" applyAlignment="1">
      <alignment horizontal="center" vertical="center" wrapText="1"/>
    </xf>
    <xf numFmtId="0" fontId="50" fillId="8" borderId="64" xfId="1" applyFont="1" applyFill="1" applyBorder="1" applyAlignment="1">
      <alignment horizontal="center" vertical="center" wrapText="1"/>
    </xf>
    <xf numFmtId="0" fontId="23" fillId="6" borderId="23" xfId="1" applyFont="1" applyFill="1" applyBorder="1" applyAlignment="1">
      <alignment horizontal="left" vertical="center" wrapText="1"/>
    </xf>
    <xf numFmtId="0" fontId="7" fillId="6" borderId="71" xfId="1" applyFont="1" applyFill="1" applyBorder="1" applyAlignment="1">
      <alignment horizontal="left" vertical="center" wrapText="1"/>
    </xf>
    <xf numFmtId="0" fontId="7" fillId="6" borderId="64" xfId="1" applyFont="1" applyFill="1" applyBorder="1" applyAlignment="1">
      <alignment horizontal="left" vertical="center" wrapText="1"/>
    </xf>
    <xf numFmtId="0" fontId="7" fillId="6" borderId="102" xfId="1" applyFont="1" applyFill="1" applyBorder="1" applyAlignment="1">
      <alignment horizontal="left" vertical="center" wrapText="1"/>
    </xf>
    <xf numFmtId="0" fontId="50" fillId="8" borderId="54" xfId="1" applyFont="1" applyFill="1" applyBorder="1" applyAlignment="1">
      <alignment horizontal="left" vertical="center" wrapText="1"/>
    </xf>
    <xf numFmtId="0" fontId="23" fillId="6" borderId="71" xfId="1" applyFont="1" applyFill="1" applyBorder="1" applyAlignment="1">
      <alignment horizontal="left" vertical="center" wrapText="1"/>
    </xf>
    <xf numFmtId="0" fontId="23" fillId="6" borderId="71" xfId="1" applyFont="1" applyFill="1" applyBorder="1" applyAlignment="1">
      <alignment horizontal="center" vertical="center" wrapText="1"/>
    </xf>
    <xf numFmtId="0" fontId="23" fillId="6" borderId="64" xfId="1" applyFont="1" applyFill="1" applyBorder="1" applyAlignment="1">
      <alignment horizontal="left" vertical="center" wrapText="1"/>
    </xf>
    <xf numFmtId="0" fontId="23" fillId="6" borderId="63" xfId="1" applyFont="1" applyFill="1" applyBorder="1" applyAlignment="1">
      <alignment horizontal="left" vertical="center" wrapText="1"/>
    </xf>
    <xf numFmtId="0" fontId="23" fillId="6" borderId="102" xfId="1" applyFont="1" applyFill="1" applyBorder="1" applyAlignment="1">
      <alignment vertical="center" wrapText="1"/>
    </xf>
    <xf numFmtId="0" fontId="23" fillId="6" borderId="16" xfId="1" applyFont="1" applyFill="1" applyBorder="1" applyAlignment="1">
      <alignment horizontal="center" vertical="center" wrapText="1"/>
    </xf>
    <xf numFmtId="0" fontId="23" fillId="6" borderId="6" xfId="1" applyFont="1" applyFill="1" applyBorder="1" applyAlignment="1">
      <alignment horizontal="center" vertical="center" wrapText="1"/>
    </xf>
    <xf numFmtId="0" fontId="50" fillId="8" borderId="63" xfId="1" applyFont="1" applyFill="1" applyBorder="1" applyAlignment="1">
      <alignment horizontal="center" vertical="center" wrapText="1"/>
    </xf>
    <xf numFmtId="0" fontId="50" fillId="6" borderId="102" xfId="1" applyFont="1" applyFill="1" applyBorder="1" applyAlignment="1">
      <alignment horizontal="left" vertical="center" wrapText="1"/>
    </xf>
    <xf numFmtId="0" fontId="50" fillId="6" borderId="15" xfId="1" applyFont="1" applyFill="1" applyBorder="1" applyAlignment="1">
      <alignment horizontal="left" vertical="center" wrapText="1"/>
    </xf>
    <xf numFmtId="0" fontId="23" fillId="0" borderId="15" xfId="14" applyFont="1" applyBorder="1" applyAlignment="1">
      <alignment vertical="center" wrapText="1"/>
    </xf>
    <xf numFmtId="0" fontId="44" fillId="4" borderId="12" xfId="1" applyFont="1" applyFill="1" applyBorder="1" applyAlignment="1">
      <alignment horizontal="center" vertical="center" wrapText="1"/>
    </xf>
    <xf numFmtId="0" fontId="44" fillId="4" borderId="9" xfId="1" applyFont="1" applyFill="1" applyBorder="1" applyAlignment="1">
      <alignment vertical="center" wrapText="1"/>
    </xf>
    <xf numFmtId="0" fontId="24" fillId="9" borderId="0" xfId="14" applyFill="1"/>
    <xf numFmtId="0" fontId="37" fillId="7" borderId="12" xfId="1" applyFont="1" applyFill="1" applyBorder="1" applyAlignment="1">
      <alignment horizontal="center" vertical="center" wrapText="1"/>
    </xf>
    <xf numFmtId="0" fontId="37" fillId="7" borderId="4" xfId="1" applyFont="1" applyFill="1" applyBorder="1" applyAlignment="1">
      <alignment horizontal="left" vertical="center" wrapText="1"/>
    </xf>
    <xf numFmtId="0" fontId="37" fillId="7" borderId="9" xfId="1" applyFont="1" applyFill="1" applyBorder="1" applyAlignment="1">
      <alignment horizontal="left" vertical="center" wrapText="1"/>
    </xf>
    <xf numFmtId="0" fontId="24" fillId="7" borderId="0" xfId="14" applyFill="1"/>
    <xf numFmtId="0" fontId="50" fillId="6" borderId="102" xfId="1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vertical="center" wrapText="1"/>
    </xf>
    <xf numFmtId="0" fontId="50" fillId="8" borderId="35" xfId="1" applyFont="1" applyFill="1" applyBorder="1" applyAlignment="1">
      <alignment horizontal="left" vertical="center" wrapText="1"/>
    </xf>
    <xf numFmtId="0" fontId="50" fillId="6" borderId="64" xfId="1" applyFont="1" applyFill="1" applyBorder="1" applyAlignment="1">
      <alignment horizontal="left" vertical="center" wrapText="1"/>
    </xf>
    <xf numFmtId="0" fontId="23" fillId="6" borderId="0" xfId="1" applyFont="1" applyFill="1" applyBorder="1" applyAlignment="1">
      <alignment horizontal="left" vertical="center" wrapText="1"/>
    </xf>
    <xf numFmtId="0" fontId="50" fillId="8" borderId="71" xfId="1" applyFont="1" applyFill="1" applyBorder="1" applyAlignment="1">
      <alignment horizontal="left" vertical="center" wrapText="1"/>
    </xf>
    <xf numFmtId="0" fontId="37" fillId="7" borderId="4" xfId="1" applyFont="1" applyFill="1" applyBorder="1" applyAlignment="1">
      <alignment horizontal="center" vertical="center" wrapText="1"/>
    </xf>
    <xf numFmtId="49" fontId="50" fillId="8" borderId="63" xfId="1" applyNumberFormat="1" applyFont="1" applyFill="1" applyBorder="1" applyAlignment="1">
      <alignment horizontal="center" vertical="center" wrapText="1"/>
    </xf>
    <xf numFmtId="49" fontId="50" fillId="8" borderId="54" xfId="1" applyNumberFormat="1" applyFont="1" applyFill="1" applyBorder="1" applyAlignment="1">
      <alignment horizontal="center" vertical="center" wrapText="1"/>
    </xf>
    <xf numFmtId="0" fontId="23" fillId="6" borderId="2" xfId="1" applyFont="1" applyFill="1" applyBorder="1" applyAlignment="1">
      <alignment horizontal="left" vertical="center" wrapText="1"/>
    </xf>
    <xf numFmtId="0" fontId="23" fillId="6" borderId="36" xfId="1" applyFont="1" applyFill="1" applyBorder="1" applyAlignment="1">
      <alignment vertical="center" wrapText="1"/>
    </xf>
    <xf numFmtId="0" fontId="23" fillId="6" borderId="55" xfId="1" applyFont="1" applyFill="1" applyBorder="1" applyAlignment="1">
      <alignment vertical="center" wrapText="1"/>
    </xf>
    <xf numFmtId="0" fontId="23" fillId="6" borderId="36" xfId="1" applyFont="1" applyFill="1" applyBorder="1" applyAlignment="1">
      <alignment horizontal="left" vertical="center" wrapText="1"/>
    </xf>
    <xf numFmtId="0" fontId="50" fillId="6" borderId="16" xfId="1" applyFont="1" applyFill="1" applyBorder="1" applyAlignment="1">
      <alignment horizontal="center" vertical="center" wrapText="1"/>
    </xf>
    <xf numFmtId="49" fontId="50" fillId="8" borderId="35" xfId="1" applyNumberFormat="1" applyFont="1" applyFill="1" applyBorder="1" applyAlignment="1">
      <alignment horizontal="center" vertical="center" wrapText="1"/>
    </xf>
    <xf numFmtId="0" fontId="50" fillId="6" borderId="15" xfId="1" applyFont="1" applyFill="1" applyBorder="1" applyAlignment="1">
      <alignment horizontal="center" vertical="center" wrapText="1"/>
    </xf>
    <xf numFmtId="0" fontId="42" fillId="0" borderId="16" xfId="14" applyFont="1" applyBorder="1" applyAlignment="1">
      <alignment vertical="center" wrapText="1"/>
    </xf>
    <xf numFmtId="49" fontId="35" fillId="6" borderId="71" xfId="14" applyNumberFormat="1" applyFont="1" applyFill="1" applyBorder="1" applyAlignment="1">
      <alignment horizontal="center" vertical="center" wrapText="1"/>
    </xf>
    <xf numFmtId="0" fontId="43" fillId="0" borderId="15" xfId="1" applyFont="1" applyFill="1" applyBorder="1" applyAlignment="1">
      <alignment horizontal="center" vertical="center" wrapText="1"/>
    </xf>
    <xf numFmtId="0" fontId="50" fillId="8" borderId="8" xfId="1" applyFont="1" applyFill="1" applyBorder="1" applyAlignment="1">
      <alignment horizontal="left" vertical="center" wrapText="1"/>
    </xf>
    <xf numFmtId="0" fontId="42" fillId="0" borderId="64" xfId="14" applyFont="1" applyBorder="1" applyAlignment="1">
      <alignment vertical="center" wrapText="1"/>
    </xf>
    <xf numFmtId="0" fontId="42" fillId="0" borderId="64" xfId="14" quotePrefix="1" applyFont="1" applyBorder="1" applyAlignment="1">
      <alignment vertical="center" wrapText="1"/>
    </xf>
    <xf numFmtId="49" fontId="50" fillId="8" borderId="71" xfId="1" applyNumberFormat="1" applyFont="1" applyFill="1" applyBorder="1" applyAlignment="1">
      <alignment horizontal="center" vertical="center" wrapText="1"/>
    </xf>
    <xf numFmtId="0" fontId="50" fillId="6" borderId="7" xfId="1" applyFont="1" applyFill="1" applyBorder="1" applyAlignment="1">
      <alignment horizontal="left" vertical="center" wrapText="1"/>
    </xf>
    <xf numFmtId="0" fontId="23" fillId="6" borderId="62" xfId="1" quotePrefix="1" applyFont="1" applyFill="1" applyBorder="1" applyAlignment="1">
      <alignment horizontal="left" vertical="center" wrapText="1"/>
    </xf>
    <xf numFmtId="49" fontId="23" fillId="6" borderId="35" xfId="1" applyNumberFormat="1" applyFont="1" applyFill="1" applyBorder="1" applyAlignment="1">
      <alignment horizontal="center" vertical="center" wrapText="1"/>
    </xf>
    <xf numFmtId="0" fontId="23" fillId="6" borderId="102" xfId="1" applyFont="1" applyFill="1" applyBorder="1" applyAlignment="1">
      <alignment horizontal="left" vertical="center" wrapText="1"/>
    </xf>
    <xf numFmtId="0" fontId="43" fillId="6" borderId="15" xfId="1" applyFont="1" applyFill="1" applyBorder="1" applyAlignment="1">
      <alignment horizontal="center" vertical="center" wrapText="1"/>
    </xf>
    <xf numFmtId="0" fontId="41" fillId="7" borderId="4" xfId="1" applyFont="1" applyFill="1" applyBorder="1" applyAlignment="1">
      <alignment horizontal="center" vertical="center" wrapText="1"/>
    </xf>
    <xf numFmtId="0" fontId="50" fillId="8" borderId="48" xfId="1" applyFont="1" applyFill="1" applyBorder="1" applyAlignment="1">
      <alignment horizontal="left" vertical="center" wrapText="1"/>
    </xf>
    <xf numFmtId="0" fontId="50" fillId="8" borderId="63" xfId="1" applyFont="1" applyFill="1" applyBorder="1" applyAlignment="1">
      <alignment horizontal="left" vertical="center" wrapText="1"/>
    </xf>
    <xf numFmtId="0" fontId="43" fillId="6" borderId="6" xfId="1" applyFont="1" applyFill="1" applyBorder="1" applyAlignment="1">
      <alignment horizontal="center" vertical="center" wrapText="1"/>
    </xf>
    <xf numFmtId="0" fontId="50" fillId="6" borderId="71" xfId="1" applyFont="1" applyFill="1" applyBorder="1" applyAlignment="1">
      <alignment horizontal="left" vertical="center" wrapText="1"/>
    </xf>
    <xf numFmtId="0" fontId="7" fillId="6" borderId="16" xfId="14" applyFont="1" applyFill="1" applyBorder="1" applyAlignment="1">
      <alignment horizontal="center" vertical="center" wrapText="1"/>
    </xf>
    <xf numFmtId="0" fontId="41" fillId="7" borderId="14" xfId="1" applyFont="1" applyFill="1" applyBorder="1" applyAlignment="1">
      <alignment horizontal="center" vertical="center" wrapText="1"/>
    </xf>
    <xf numFmtId="0" fontId="41" fillId="7" borderId="43" xfId="1" applyFont="1" applyFill="1" applyBorder="1" applyAlignment="1">
      <alignment vertical="center" wrapText="1"/>
    </xf>
    <xf numFmtId="3" fontId="39" fillId="0" borderId="17" xfId="14" applyNumberFormat="1" applyFont="1" applyFill="1" applyBorder="1" applyAlignment="1">
      <alignment horizontal="right" vertical="center"/>
    </xf>
    <xf numFmtId="10" fontId="39" fillId="0" borderId="17" xfId="14" applyNumberFormat="1" applyFont="1" applyFill="1" applyBorder="1" applyAlignment="1">
      <alignment horizontal="right" vertical="center"/>
    </xf>
    <xf numFmtId="0" fontId="41" fillId="6" borderId="16" xfId="1" applyFont="1" applyFill="1" applyBorder="1" applyAlignment="1">
      <alignment horizontal="center" vertical="center" wrapText="1"/>
    </xf>
    <xf numFmtId="0" fontId="35" fillId="6" borderId="55" xfId="1" applyFont="1" applyFill="1" applyBorder="1" applyAlignment="1">
      <alignment vertical="center" wrapText="1"/>
    </xf>
    <xf numFmtId="0" fontId="35" fillId="6" borderId="63" xfId="1" applyFont="1" applyFill="1" applyBorder="1" applyAlignment="1">
      <alignment horizontal="center" vertical="center" wrapText="1"/>
    </xf>
    <xf numFmtId="0" fontId="41" fillId="6" borderId="36" xfId="1" applyFont="1" applyFill="1" applyBorder="1" applyAlignment="1">
      <alignment horizontal="center" vertical="center" wrapText="1"/>
    </xf>
    <xf numFmtId="0" fontId="35" fillId="0" borderId="36" xfId="1" applyFont="1" applyFill="1" applyBorder="1" applyAlignment="1">
      <alignment vertical="center" wrapText="1"/>
    </xf>
    <xf numFmtId="0" fontId="43" fillId="6" borderId="14" xfId="1" applyFont="1" applyFill="1" applyBorder="1" applyAlignment="1">
      <alignment horizontal="center" vertical="center" wrapText="1"/>
    </xf>
    <xf numFmtId="0" fontId="43" fillId="6" borderId="15" xfId="1" applyFont="1" applyFill="1" applyBorder="1" applyAlignment="1">
      <alignment vertical="center" wrapText="1"/>
    </xf>
    <xf numFmtId="0" fontId="44" fillId="6" borderId="64" xfId="1" applyFont="1" applyFill="1" applyBorder="1" applyAlignment="1">
      <alignment horizontal="center" vertical="center" wrapText="1"/>
    </xf>
    <xf numFmtId="0" fontId="23" fillId="0" borderId="20" xfId="1" applyFont="1" applyFill="1" applyBorder="1" applyAlignment="1">
      <alignment vertical="center" wrapText="1"/>
    </xf>
    <xf numFmtId="49" fontId="23" fillId="6" borderId="71" xfId="1" applyNumberFormat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left" vertical="center" wrapText="1"/>
    </xf>
    <xf numFmtId="0" fontId="23" fillId="0" borderId="64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left" vertical="center" wrapText="1"/>
    </xf>
    <xf numFmtId="0" fontId="23" fillId="6" borderId="54" xfId="1" applyFont="1" applyFill="1" applyBorder="1" applyAlignment="1">
      <alignment horizontal="center" vertical="center" wrapText="1"/>
    </xf>
    <xf numFmtId="49" fontId="23" fillId="6" borderId="63" xfId="1" applyNumberFormat="1" applyFont="1" applyFill="1" applyBorder="1" applyAlignment="1">
      <alignment horizontal="center" vertical="center" wrapText="1"/>
    </xf>
    <xf numFmtId="0" fontId="23" fillId="0" borderId="2" xfId="1" quotePrefix="1" applyFont="1" applyFill="1" applyBorder="1" applyAlignment="1">
      <alignment horizontal="left" vertical="center" wrapText="1"/>
    </xf>
    <xf numFmtId="49" fontId="23" fillId="6" borderId="6" xfId="1" applyNumberFormat="1" applyFont="1" applyFill="1" applyBorder="1" applyAlignment="1">
      <alignment horizontal="center" vertical="center" wrapText="1"/>
    </xf>
    <xf numFmtId="0" fontId="23" fillId="0" borderId="16" xfId="1" quotePrefix="1" applyFont="1" applyFill="1" applyBorder="1" applyAlignment="1">
      <alignment horizontal="left" vertical="center" wrapText="1"/>
    </xf>
    <xf numFmtId="0" fontId="23" fillId="0" borderId="18" xfId="1" quotePrefix="1" applyFont="1" applyFill="1" applyBorder="1" applyAlignment="1">
      <alignment horizontal="left" vertical="center" wrapText="1"/>
    </xf>
    <xf numFmtId="0" fontId="23" fillId="6" borderId="43" xfId="1" applyFont="1" applyFill="1" applyBorder="1" applyAlignment="1">
      <alignment horizontal="center" vertical="center" wrapText="1"/>
    </xf>
    <xf numFmtId="3" fontId="39" fillId="6" borderId="14" xfId="14" applyNumberFormat="1" applyFont="1" applyFill="1" applyBorder="1" applyAlignment="1">
      <alignment horizontal="right" vertical="center"/>
    </xf>
    <xf numFmtId="3" fontId="39" fillId="0" borderId="14" xfId="14" applyNumberFormat="1" applyFont="1" applyFill="1" applyBorder="1" applyAlignment="1">
      <alignment horizontal="right" vertical="center"/>
    </xf>
    <xf numFmtId="10" fontId="39" fillId="0" borderId="14" xfId="14" applyNumberFormat="1" applyFont="1" applyFill="1" applyBorder="1" applyAlignment="1">
      <alignment horizontal="right" vertical="center"/>
    </xf>
    <xf numFmtId="0" fontId="50" fillId="6" borderId="36" xfId="1" applyFont="1" applyFill="1" applyBorder="1" applyAlignment="1">
      <alignment horizontal="left" vertical="center" wrapText="1"/>
    </xf>
    <xf numFmtId="0" fontId="35" fillId="0" borderId="23" xfId="1" applyFont="1" applyFill="1" applyBorder="1" applyAlignment="1">
      <alignment vertical="center" wrapText="1"/>
    </xf>
    <xf numFmtId="49" fontId="7" fillId="6" borderId="63" xfId="1" applyNumberFormat="1" applyFont="1" applyFill="1" applyBorder="1" applyAlignment="1">
      <alignment horizontal="center" vertical="center" wrapText="1"/>
    </xf>
    <xf numFmtId="0" fontId="42" fillId="0" borderId="15" xfId="1" applyFont="1" applyFill="1" applyBorder="1" applyAlignment="1">
      <alignment vertical="center" wrapText="1"/>
    </xf>
    <xf numFmtId="49" fontId="42" fillId="6" borderId="54" xfId="1" applyNumberFormat="1" applyFont="1" applyFill="1" applyBorder="1" applyAlignment="1">
      <alignment horizontal="center" vertical="center" wrapText="1"/>
    </xf>
    <xf numFmtId="0" fontId="23" fillId="0" borderId="23" xfId="1" applyFont="1" applyFill="1" applyBorder="1" applyAlignment="1">
      <alignment horizontal="left" vertical="center" wrapText="1"/>
    </xf>
    <xf numFmtId="49" fontId="23" fillId="6" borderId="64" xfId="1" applyNumberFormat="1" applyFont="1" applyFill="1" applyBorder="1" applyAlignment="1">
      <alignment horizontal="center" vertical="center" wrapText="1"/>
    </xf>
    <xf numFmtId="49" fontId="42" fillId="6" borderId="63" xfId="1" applyNumberFormat="1" applyFont="1" applyFill="1" applyBorder="1" applyAlignment="1">
      <alignment horizontal="center" vertical="center" wrapText="1"/>
    </xf>
    <xf numFmtId="0" fontId="35" fillId="6" borderId="15" xfId="1" applyFont="1" applyFill="1" applyBorder="1" applyAlignment="1">
      <alignment horizontal="center" vertical="center" wrapText="1"/>
    </xf>
    <xf numFmtId="0" fontId="23" fillId="0" borderId="62" xfId="1" applyFont="1" applyFill="1" applyBorder="1" applyAlignment="1">
      <alignment horizontal="left" vertical="center" wrapText="1"/>
    </xf>
    <xf numFmtId="0" fontId="23" fillId="6" borderId="35" xfId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1" fillId="0" borderId="23" xfId="0" applyFont="1" applyFill="1" applyBorder="1" applyAlignment="1">
      <alignment horizontal="left" vertical="center" wrapText="1"/>
    </xf>
    <xf numFmtId="0" fontId="7" fillId="0" borderId="105" xfId="1" quotePrefix="1" applyFont="1" applyFill="1" applyBorder="1" applyAlignment="1">
      <alignment vertical="center" wrapText="1"/>
    </xf>
    <xf numFmtId="0" fontId="7" fillId="0" borderId="64" xfId="1" quotePrefix="1" applyFont="1" applyFill="1" applyBorder="1" applyAlignment="1">
      <alignment vertical="center" wrapText="1"/>
    </xf>
    <xf numFmtId="0" fontId="7" fillId="0" borderId="2" xfId="1" quotePrefix="1" applyFont="1" applyFill="1" applyBorder="1" applyAlignment="1">
      <alignment vertical="center" wrapText="1"/>
    </xf>
    <xf numFmtId="0" fontId="51" fillId="0" borderId="23" xfId="0" quotePrefix="1" applyFont="1" applyFill="1" applyBorder="1" applyAlignment="1">
      <alignment horizontal="left" vertical="center" wrapText="1"/>
    </xf>
    <xf numFmtId="0" fontId="50" fillId="6" borderId="14" xfId="1" applyFont="1" applyFill="1" applyBorder="1" applyAlignment="1">
      <alignment horizontal="left" vertical="center" wrapText="1"/>
    </xf>
    <xf numFmtId="0" fontId="23" fillId="0" borderId="43" xfId="1" quotePrefix="1" applyFont="1" applyFill="1" applyBorder="1" applyAlignment="1">
      <alignment horizontal="left" vertical="center" wrapText="1"/>
    </xf>
    <xf numFmtId="0" fontId="26" fillId="4" borderId="4" xfId="14" applyFont="1" applyFill="1" applyBorder="1" applyAlignment="1">
      <alignment horizontal="center"/>
    </xf>
    <xf numFmtId="0" fontId="44" fillId="4" borderId="4" xfId="1" applyFont="1" applyFill="1" applyBorder="1" applyAlignment="1">
      <alignment horizontal="center" vertical="center" wrapText="1"/>
    </xf>
    <xf numFmtId="0" fontId="44" fillId="7" borderId="9" xfId="1" applyFont="1" applyFill="1" applyBorder="1" applyAlignment="1">
      <alignment horizontal="center" vertical="center" wrapText="1"/>
    </xf>
    <xf numFmtId="0" fontId="44" fillId="7" borderId="9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41" fillId="6" borderId="55" xfId="1" applyFont="1" applyFill="1" applyBorder="1" applyAlignment="1">
      <alignment horizontal="center" vertical="center" wrapText="1"/>
    </xf>
    <xf numFmtId="0" fontId="44" fillId="7" borderId="4" xfId="1" applyFont="1" applyFill="1" applyBorder="1" applyAlignment="1">
      <alignment vertical="center" wrapText="1"/>
    </xf>
    <xf numFmtId="49" fontId="42" fillId="6" borderId="71" xfId="1" applyNumberFormat="1" applyFont="1" applyFill="1" applyBorder="1" applyAlignment="1">
      <alignment horizontal="center" vertical="center" wrapText="1"/>
    </xf>
    <xf numFmtId="0" fontId="35" fillId="6" borderId="14" xfId="1" applyFont="1" applyFill="1" applyBorder="1" applyAlignment="1">
      <alignment horizontal="center" vertical="center" wrapText="1"/>
    </xf>
    <xf numFmtId="49" fontId="42" fillId="6" borderId="102" xfId="1" applyNumberFormat="1" applyFont="1" applyFill="1" applyBorder="1" applyAlignment="1">
      <alignment horizontal="center" vertical="center" wrapText="1"/>
    </xf>
    <xf numFmtId="0" fontId="42" fillId="0" borderId="2" xfId="1" applyFont="1" applyFill="1" applyBorder="1" applyAlignment="1">
      <alignment vertical="center" wrapText="1"/>
    </xf>
    <xf numFmtId="0" fontId="41" fillId="7" borderId="18" xfId="1" applyFont="1" applyFill="1" applyBorder="1" applyAlignment="1">
      <alignment horizontal="center" vertical="center" wrapText="1"/>
    </xf>
    <xf numFmtId="49" fontId="35" fillId="6" borderId="63" xfId="1" applyNumberFormat="1" applyFont="1" applyFill="1" applyBorder="1" applyAlignment="1">
      <alignment horizontal="center" vertical="center" wrapText="1"/>
    </xf>
    <xf numFmtId="49" fontId="35" fillId="6" borderId="71" xfId="1" applyNumberFormat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26" fillId="4" borderId="12" xfId="1" applyFont="1" applyFill="1" applyBorder="1" applyAlignment="1">
      <alignment horizontal="center" vertical="center" wrapText="1"/>
    </xf>
    <xf numFmtId="0" fontId="26" fillId="4" borderId="4" xfId="1" applyFont="1" applyFill="1" applyBorder="1" applyAlignment="1">
      <alignment vertical="center" wrapText="1"/>
    </xf>
    <xf numFmtId="0" fontId="26" fillId="4" borderId="9" xfId="1" applyFont="1" applyFill="1" applyBorder="1" applyAlignment="1">
      <alignment vertical="center" wrapText="1"/>
    </xf>
    <xf numFmtId="0" fontId="50" fillId="6" borderId="7" xfId="1" applyFont="1" applyFill="1" applyBorder="1" applyAlignment="1">
      <alignment horizontal="center" vertical="center" wrapText="1"/>
    </xf>
    <xf numFmtId="0" fontId="42" fillId="6" borderId="62" xfId="1" applyFont="1" applyFill="1" applyBorder="1" applyAlignment="1">
      <alignment vertical="center" wrapText="1"/>
    </xf>
    <xf numFmtId="49" fontId="42" fillId="6" borderId="35" xfId="1" applyNumberFormat="1" applyFont="1" applyFill="1" applyBorder="1" applyAlignment="1">
      <alignment horizontal="center" vertical="center" wrapText="1"/>
    </xf>
    <xf numFmtId="0" fontId="42" fillId="6" borderId="63" xfId="1" applyFont="1" applyFill="1" applyBorder="1" applyAlignment="1">
      <alignment horizontal="center" vertical="center" wrapText="1"/>
    </xf>
    <xf numFmtId="0" fontId="50" fillId="8" borderId="11" xfId="1" applyFont="1" applyFill="1" applyBorder="1" applyAlignment="1">
      <alignment horizontal="left" vertical="center" wrapText="1"/>
    </xf>
    <xf numFmtId="0" fontId="23" fillId="4" borderId="12" xfId="1" applyFont="1" applyFill="1" applyBorder="1" applyAlignment="1">
      <alignment horizontal="center" vertical="center" wrapText="1"/>
    </xf>
    <xf numFmtId="0" fontId="26" fillId="4" borderId="4" xfId="1" applyFont="1" applyFill="1" applyBorder="1" applyAlignment="1">
      <alignment horizontal="left" vertical="center" wrapText="1"/>
    </xf>
    <xf numFmtId="0" fontId="26" fillId="4" borderId="9" xfId="1" applyFont="1" applyFill="1" applyBorder="1" applyAlignment="1">
      <alignment horizontal="left" vertical="center" wrapText="1"/>
    </xf>
    <xf numFmtId="49" fontId="23" fillId="6" borderId="2" xfId="1" applyNumberFormat="1" applyFont="1" applyFill="1" applyBorder="1" applyAlignment="1">
      <alignment horizontal="center" vertical="center" wrapText="1"/>
    </xf>
    <xf numFmtId="0" fontId="23" fillId="6" borderId="36" xfId="1" applyFont="1" applyFill="1" applyBorder="1" applyAlignment="1">
      <alignment horizontal="center" vertical="center" wrapText="1"/>
    </xf>
    <xf numFmtId="0" fontId="23" fillId="6" borderId="23" xfId="1" applyFont="1" applyFill="1" applyBorder="1" applyAlignment="1">
      <alignment horizontal="center" vertical="center" wrapText="1"/>
    </xf>
    <xf numFmtId="0" fontId="50" fillId="8" borderId="43" xfId="1" applyFont="1" applyFill="1" applyBorder="1" applyAlignment="1">
      <alignment horizontal="left" vertical="center" wrapText="1"/>
    </xf>
    <xf numFmtId="3" fontId="39" fillId="8" borderId="14" xfId="14" applyNumberFormat="1" applyFont="1" applyFill="1" applyBorder="1" applyAlignment="1">
      <alignment horizontal="right" vertical="center"/>
    </xf>
    <xf numFmtId="10" fontId="39" fillId="8" borderId="14" xfId="14" applyNumberFormat="1" applyFont="1" applyFill="1" applyBorder="1" applyAlignment="1">
      <alignment horizontal="right" vertical="center"/>
    </xf>
    <xf numFmtId="0" fontId="42" fillId="6" borderId="2" xfId="1" applyFont="1" applyFill="1" applyBorder="1" applyAlignment="1">
      <alignment vertical="center" wrapText="1"/>
    </xf>
    <xf numFmtId="0" fontId="11" fillId="2" borderId="9" xfId="1" applyFont="1" applyFill="1" applyBorder="1" applyAlignment="1">
      <alignment horizontal="center" vertical="center" wrapText="1"/>
    </xf>
    <xf numFmtId="3" fontId="52" fillId="2" borderId="4" xfId="14" applyNumberFormat="1" applyFont="1" applyFill="1" applyBorder="1" applyAlignment="1">
      <alignment horizontal="right" vertical="center"/>
    </xf>
    <xf numFmtId="10" fontId="52" fillId="2" borderId="4" xfId="14" applyNumberFormat="1" applyFont="1" applyFill="1" applyBorder="1" applyAlignment="1">
      <alignment horizontal="right" vertical="center"/>
    </xf>
    <xf numFmtId="0" fontId="22" fillId="8" borderId="106" xfId="1" applyFont="1" applyFill="1" applyBorder="1" applyAlignment="1">
      <alignment vertical="center"/>
    </xf>
    <xf numFmtId="3" fontId="52" fillId="8" borderId="106" xfId="14" applyNumberFormat="1" applyFont="1" applyFill="1" applyBorder="1" applyAlignment="1">
      <alignment horizontal="right" vertical="center"/>
    </xf>
    <xf numFmtId="10" fontId="52" fillId="8" borderId="106" xfId="14" applyNumberFormat="1" applyFont="1" applyFill="1" applyBorder="1" applyAlignment="1">
      <alignment horizontal="right" vertical="center"/>
    </xf>
    <xf numFmtId="0" fontId="22" fillId="8" borderId="66" xfId="1" applyFont="1" applyFill="1" applyBorder="1" applyAlignment="1">
      <alignment vertical="center"/>
    </xf>
    <xf numFmtId="3" fontId="54" fillId="8" borderId="66" xfId="14" applyNumberFormat="1" applyFont="1" applyFill="1" applyBorder="1" applyAlignment="1">
      <alignment horizontal="right" vertical="center"/>
    </xf>
    <xf numFmtId="10" fontId="54" fillId="8" borderId="66" xfId="14" applyNumberFormat="1" applyFont="1" applyFill="1" applyBorder="1" applyAlignment="1">
      <alignment horizontal="right" vertical="center"/>
    </xf>
    <xf numFmtId="0" fontId="53" fillId="8" borderId="107" xfId="1" applyFont="1" applyFill="1" applyBorder="1" applyAlignment="1">
      <alignment horizontal="left" vertical="center"/>
    </xf>
    <xf numFmtId="0" fontId="53" fillId="8" borderId="66" xfId="1" applyFont="1" applyFill="1" applyBorder="1" applyAlignment="1">
      <alignment horizontal="left" vertical="center"/>
    </xf>
    <xf numFmtId="0" fontId="53" fillId="8" borderId="86" xfId="1" applyFont="1" applyFill="1" applyBorder="1" applyAlignment="1">
      <alignment horizontal="left" vertical="center"/>
    </xf>
    <xf numFmtId="0" fontId="53" fillId="8" borderId="95" xfId="1" applyFont="1" applyFill="1" applyBorder="1" applyAlignment="1">
      <alignment horizontal="left" vertical="center"/>
    </xf>
    <xf numFmtId="0" fontId="22" fillId="8" borderId="95" xfId="1" applyFont="1" applyFill="1" applyBorder="1" applyAlignment="1">
      <alignment vertical="center"/>
    </xf>
    <xf numFmtId="3" fontId="54" fillId="8" borderId="95" xfId="14" applyNumberFormat="1" applyFont="1" applyFill="1" applyBorder="1" applyAlignment="1">
      <alignment horizontal="right" vertical="center"/>
    </xf>
    <xf numFmtId="10" fontId="54" fillId="8" borderId="95" xfId="14" applyNumberFormat="1" applyFont="1" applyFill="1" applyBorder="1" applyAlignment="1">
      <alignment horizontal="right" vertical="center"/>
    </xf>
    <xf numFmtId="0" fontId="24" fillId="0" borderId="0" xfId="14" applyBorder="1"/>
    <xf numFmtId="0" fontId="55" fillId="0" borderId="0" xfId="10" applyNumberFormat="1" applyFont="1" applyFill="1" applyBorder="1" applyAlignment="1" applyProtection="1">
      <alignment horizontal="left" vertical="center"/>
      <protection locked="0"/>
    </xf>
    <xf numFmtId="0" fontId="55" fillId="0" borderId="0" xfId="10" applyNumberFormat="1" applyFont="1" applyFill="1" applyBorder="1" applyAlignment="1" applyProtection="1">
      <alignment horizontal="left" vertical="center" wrapText="1"/>
      <protection locked="0"/>
    </xf>
    <xf numFmtId="10" fontId="55" fillId="0" borderId="0" xfId="10" applyNumberFormat="1" applyFont="1" applyFill="1" applyBorder="1" applyAlignment="1" applyProtection="1">
      <alignment horizontal="right" vertical="center"/>
      <protection locked="0"/>
    </xf>
    <xf numFmtId="4" fontId="55" fillId="0" borderId="0" xfId="10" applyNumberFormat="1" applyFont="1" applyFill="1" applyBorder="1" applyAlignment="1" applyProtection="1">
      <alignment horizontal="left" vertical="center"/>
      <protection locked="0"/>
    </xf>
    <xf numFmtId="0" fontId="57" fillId="0" borderId="0" xfId="10" applyNumberFormat="1" applyFont="1" applyFill="1" applyBorder="1" applyAlignment="1" applyProtection="1">
      <alignment horizontal="left" vertical="center"/>
      <protection locked="0"/>
    </xf>
    <xf numFmtId="10" fontId="57" fillId="0" borderId="0" xfId="10" applyNumberFormat="1" applyFont="1" applyFill="1" applyBorder="1" applyAlignment="1" applyProtection="1">
      <alignment horizontal="right" vertical="center"/>
      <protection locked="0"/>
    </xf>
    <xf numFmtId="4" fontId="57" fillId="0" borderId="0" xfId="10" applyNumberFormat="1" applyFont="1" applyFill="1" applyBorder="1" applyAlignment="1" applyProtection="1">
      <alignment horizontal="left" vertical="center"/>
      <protection locked="0"/>
    </xf>
    <xf numFmtId="49" fontId="58" fillId="11" borderId="9" xfId="10" applyNumberFormat="1" applyFont="1" applyFill="1" applyBorder="1" applyAlignment="1" applyProtection="1">
      <alignment horizontal="center" vertical="center" wrapText="1"/>
      <protection locked="0"/>
    </xf>
    <xf numFmtId="49" fontId="58" fillId="11" borderId="4" xfId="10" applyNumberFormat="1" applyFont="1" applyFill="1" applyBorder="1" applyAlignment="1" applyProtection="1">
      <alignment horizontal="center" vertical="center" wrapText="1"/>
      <protection locked="0"/>
    </xf>
    <xf numFmtId="49" fontId="58" fillId="11" borderId="12" xfId="10" applyNumberFormat="1" applyFont="1" applyFill="1" applyBorder="1" applyAlignment="1" applyProtection="1">
      <alignment horizontal="center" vertical="center" wrapText="1"/>
      <protection locked="0"/>
    </xf>
    <xf numFmtId="0" fontId="58" fillId="3" borderId="4" xfId="10" applyNumberFormat="1" applyFont="1" applyFill="1" applyBorder="1" applyAlignment="1" applyProtection="1">
      <alignment horizontal="center" vertical="center" wrapText="1"/>
      <protection locked="0"/>
    </xf>
    <xf numFmtId="10" fontId="58" fillId="3" borderId="12" xfId="10" applyNumberFormat="1" applyFont="1" applyFill="1" applyBorder="1" applyAlignment="1" applyProtection="1">
      <alignment horizontal="center" vertical="center" wrapText="1"/>
      <protection locked="0"/>
    </xf>
    <xf numFmtId="49" fontId="59" fillId="10" borderId="9" xfId="10" applyNumberFormat="1" applyFont="1" applyFill="1" applyBorder="1" applyAlignment="1" applyProtection="1">
      <alignment horizontal="center" vertical="center" wrapText="1"/>
      <protection locked="0"/>
    </xf>
    <xf numFmtId="49" fontId="59" fillId="10" borderId="4" xfId="10" applyNumberFormat="1" applyFont="1" applyFill="1" applyBorder="1" applyAlignment="1" applyProtection="1">
      <alignment horizontal="center" vertical="center" wrapText="1"/>
      <protection locked="0"/>
    </xf>
    <xf numFmtId="49" fontId="59" fillId="10" borderId="12" xfId="10" applyNumberFormat="1" applyFont="1" applyFill="1" applyBorder="1" applyAlignment="1" applyProtection="1">
      <alignment horizontal="center" vertical="center" wrapText="1"/>
      <protection locked="0"/>
    </xf>
    <xf numFmtId="0" fontId="59" fillId="0" borderId="4" xfId="10" applyNumberFormat="1" applyFont="1" applyFill="1" applyBorder="1" applyAlignment="1" applyProtection="1">
      <alignment horizontal="center" vertical="center" wrapText="1"/>
      <protection locked="0"/>
    </xf>
    <xf numFmtId="49" fontId="59" fillId="0" borderId="12" xfId="10" applyNumberFormat="1" applyFont="1" applyFill="1" applyBorder="1" applyAlignment="1" applyProtection="1">
      <alignment horizontal="center" vertical="center" wrapText="1"/>
      <protection locked="0"/>
    </xf>
    <xf numFmtId="49" fontId="59" fillId="12" borderId="9" xfId="10" applyNumberFormat="1" applyFont="1" applyFill="1" applyBorder="1" applyAlignment="1" applyProtection="1">
      <alignment horizontal="center" vertical="center" wrapText="1"/>
      <protection locked="0"/>
    </xf>
    <xf numFmtId="49" fontId="59" fillId="12" borderId="17" xfId="10" applyNumberFormat="1" applyFont="1" applyFill="1" applyBorder="1" applyAlignment="1" applyProtection="1">
      <alignment horizontal="center" vertical="center" wrapText="1"/>
      <protection locked="0"/>
    </xf>
    <xf numFmtId="49" fontId="59" fillId="12" borderId="108" xfId="10" applyNumberFormat="1" applyFont="1" applyFill="1" applyBorder="1" applyAlignment="1" applyProtection="1">
      <alignment horizontal="center" vertical="center" wrapText="1"/>
      <protection locked="0"/>
    </xf>
    <xf numFmtId="49" fontId="59" fillId="12" borderId="109" xfId="10" applyNumberFormat="1" applyFont="1" applyFill="1" applyBorder="1" applyAlignment="1" applyProtection="1">
      <alignment horizontal="left" vertical="center" wrapText="1"/>
      <protection locked="0"/>
    </xf>
    <xf numFmtId="3" fontId="59" fillId="2" borderId="17" xfId="10" applyNumberFormat="1" applyFont="1" applyFill="1" applyBorder="1" applyAlignment="1" applyProtection="1">
      <alignment horizontal="right" vertical="center"/>
      <protection locked="0"/>
    </xf>
    <xf numFmtId="10" fontId="59" fillId="2" borderId="10" xfId="10" applyNumberFormat="1" applyFont="1" applyFill="1" applyBorder="1" applyAlignment="1" applyProtection="1">
      <alignment horizontal="right" vertical="center"/>
      <protection locked="0"/>
    </xf>
    <xf numFmtId="49" fontId="55" fillId="10" borderId="6" xfId="10" applyNumberFormat="1" applyFont="1" applyFill="1" applyBorder="1" applyAlignment="1" applyProtection="1">
      <alignment horizontal="center" vertical="center" wrapText="1"/>
      <protection locked="0"/>
    </xf>
    <xf numFmtId="49" fontId="60" fillId="13" borderId="110" xfId="10" applyNumberFormat="1" applyFont="1" applyFill="1" applyBorder="1" applyAlignment="1" applyProtection="1">
      <alignment horizontal="center" vertical="center" wrapText="1"/>
      <protection locked="0"/>
    </xf>
    <xf numFmtId="49" fontId="60" fillId="13" borderId="111" xfId="10" applyNumberFormat="1" applyFont="1" applyFill="1" applyBorder="1" applyAlignment="1" applyProtection="1">
      <alignment horizontal="center" vertical="center" wrapText="1"/>
      <protection locked="0"/>
    </xf>
    <xf numFmtId="49" fontId="60" fillId="13" borderId="112" xfId="10" applyNumberFormat="1" applyFont="1" applyFill="1" applyBorder="1" applyAlignment="1" applyProtection="1">
      <alignment horizontal="left" vertical="center" wrapText="1"/>
      <protection locked="0"/>
    </xf>
    <xf numFmtId="3" fontId="60" fillId="14" borderId="110" xfId="10" applyNumberFormat="1" applyFont="1" applyFill="1" applyBorder="1" applyAlignment="1" applyProtection="1">
      <alignment horizontal="right" vertical="center"/>
      <protection locked="0"/>
    </xf>
    <xf numFmtId="10" fontId="60" fillId="14" borderId="113" xfId="10" applyNumberFormat="1" applyFont="1" applyFill="1" applyBorder="1" applyAlignment="1" applyProtection="1">
      <alignment horizontal="right" vertical="center"/>
      <protection locked="0"/>
    </xf>
    <xf numFmtId="3" fontId="59" fillId="0" borderId="16" xfId="10" applyNumberFormat="1" applyFont="1" applyFill="1" applyBorder="1" applyAlignment="1" applyProtection="1">
      <alignment horizontal="right" vertical="center"/>
      <protection locked="0"/>
    </xf>
    <xf numFmtId="10" fontId="59" fillId="0" borderId="55" xfId="10" applyNumberFormat="1" applyFont="1" applyFill="1" applyBorder="1" applyAlignment="1" applyProtection="1">
      <alignment horizontal="right" vertical="center"/>
      <protection locked="0"/>
    </xf>
    <xf numFmtId="3" fontId="55" fillId="0" borderId="116" xfId="10" applyNumberFormat="1" applyFont="1" applyFill="1" applyBorder="1" applyAlignment="1" applyProtection="1">
      <alignment vertical="center"/>
      <protection locked="0"/>
    </xf>
    <xf numFmtId="10" fontId="55" fillId="0" borderId="117" xfId="10" applyNumberFormat="1" applyFont="1" applyFill="1" applyBorder="1" applyAlignment="1" applyProtection="1">
      <alignment horizontal="right" vertical="center"/>
      <protection locked="0"/>
    </xf>
    <xf numFmtId="3" fontId="61" fillId="0" borderId="64" xfId="10" applyNumberFormat="1" applyFont="1" applyFill="1" applyBorder="1" applyAlignment="1" applyProtection="1">
      <alignment horizontal="right" vertical="center"/>
      <protection locked="0"/>
    </xf>
    <xf numFmtId="10" fontId="61" fillId="0" borderId="36" xfId="10" applyNumberFormat="1" applyFont="1" applyFill="1" applyBorder="1" applyAlignment="1" applyProtection="1">
      <alignment horizontal="right" vertical="center"/>
      <protection locked="0"/>
    </xf>
    <xf numFmtId="49" fontId="55" fillId="10" borderId="1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1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19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20" xfId="10" applyNumberFormat="1" applyFont="1" applyFill="1" applyBorder="1" applyAlignment="1" applyProtection="1">
      <alignment horizontal="right" vertical="center"/>
      <protection locked="0"/>
    </xf>
    <xf numFmtId="10" fontId="55" fillId="0" borderId="121" xfId="10" applyNumberFormat="1" applyFont="1" applyFill="1" applyBorder="1" applyAlignment="1" applyProtection="1">
      <alignment horizontal="right" vertical="center"/>
      <protection locked="0"/>
    </xf>
    <xf numFmtId="49" fontId="55" fillId="10" borderId="12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23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24" xfId="10" applyNumberFormat="1" applyFont="1" applyFill="1" applyBorder="1" applyAlignment="1" applyProtection="1">
      <alignment horizontal="right" vertical="center"/>
      <protection locked="0"/>
    </xf>
    <xf numFmtId="10" fontId="55" fillId="0" borderId="125" xfId="10" applyNumberFormat="1" applyFont="1" applyFill="1" applyBorder="1" applyAlignment="1" applyProtection="1">
      <alignment horizontal="right" vertical="center"/>
      <protection locked="0"/>
    </xf>
    <xf numFmtId="49" fontId="55" fillId="10" borderId="12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27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28" xfId="10" applyNumberFormat="1" applyFont="1" applyFill="1" applyBorder="1" applyAlignment="1" applyProtection="1">
      <alignment horizontal="right" vertical="center"/>
      <protection locked="0"/>
    </xf>
    <xf numFmtId="10" fontId="55" fillId="0" borderId="129" xfId="10" applyNumberFormat="1" applyFont="1" applyFill="1" applyBorder="1" applyAlignment="1" applyProtection="1">
      <alignment horizontal="right" vertical="center"/>
      <protection locked="0"/>
    </xf>
    <xf numFmtId="49" fontId="55" fillId="10" borderId="13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31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32" xfId="10" applyNumberFormat="1" applyFont="1" applyFill="1" applyBorder="1" applyAlignment="1" applyProtection="1">
      <alignment horizontal="right" vertical="center"/>
      <protection locked="0"/>
    </xf>
    <xf numFmtId="10" fontId="55" fillId="0" borderId="133" xfId="10" applyNumberFormat="1" applyFont="1" applyFill="1" applyBorder="1" applyAlignment="1" applyProtection="1">
      <alignment horizontal="right" vertical="center"/>
      <protection locked="0"/>
    </xf>
    <xf numFmtId="49" fontId="55" fillId="10" borderId="13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35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36" xfId="10" applyNumberFormat="1" applyFont="1" applyFill="1" applyBorder="1" applyAlignment="1" applyProtection="1">
      <alignment horizontal="right" vertical="center"/>
      <protection locked="0"/>
    </xf>
    <xf numFmtId="10" fontId="55" fillId="0" borderId="137" xfId="10" applyNumberFormat="1" applyFont="1" applyFill="1" applyBorder="1" applyAlignment="1" applyProtection="1">
      <alignment horizontal="right" vertical="center"/>
      <protection locked="0"/>
    </xf>
    <xf numFmtId="49" fontId="55" fillId="10" borderId="138" xfId="10" applyNumberFormat="1" applyFont="1" applyFill="1" applyBorder="1" applyAlignment="1" applyProtection="1">
      <alignment vertical="center" wrapText="1"/>
      <protection locked="0"/>
    </xf>
    <xf numFmtId="49" fontId="55" fillId="10" borderId="15" xfId="10" applyNumberFormat="1" applyFont="1" applyFill="1" applyBorder="1" applyAlignment="1" applyProtection="1">
      <alignment vertical="center" wrapText="1"/>
      <protection locked="0"/>
    </xf>
    <xf numFmtId="10" fontId="55" fillId="10" borderId="5" xfId="10" applyNumberFormat="1" applyFont="1" applyFill="1" applyBorder="1" applyAlignment="1" applyProtection="1">
      <alignment horizontal="right" vertical="center" wrapText="1"/>
      <protection locked="0"/>
    </xf>
    <xf numFmtId="3" fontId="61" fillId="0" borderId="139" xfId="10" applyNumberFormat="1" applyFont="1" applyFill="1" applyBorder="1" applyAlignment="1" applyProtection="1">
      <alignment horizontal="right" vertical="center"/>
      <protection locked="0"/>
    </xf>
    <xf numFmtId="10" fontId="61" fillId="0" borderId="140" xfId="10" applyNumberFormat="1" applyFont="1" applyFill="1" applyBorder="1" applyAlignment="1" applyProtection="1">
      <alignment horizontal="right" vertical="center"/>
      <protection locked="0"/>
    </xf>
    <xf numFmtId="49" fontId="55" fillId="10" borderId="14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4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43" xfId="10" applyNumberFormat="1" applyFont="1" applyFill="1" applyBorder="1" applyAlignment="1" applyProtection="1">
      <alignment horizontal="right" vertical="center"/>
      <protection locked="0"/>
    </xf>
    <xf numFmtId="10" fontId="55" fillId="0" borderId="144" xfId="10" applyNumberFormat="1" applyFont="1" applyFill="1" applyBorder="1" applyAlignment="1" applyProtection="1">
      <alignment horizontal="right" vertical="center"/>
      <protection locked="0"/>
    </xf>
    <xf numFmtId="49" fontId="55" fillId="10" borderId="14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46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47" xfId="10" applyNumberFormat="1" applyFont="1" applyFill="1" applyBorder="1" applyAlignment="1" applyProtection="1">
      <alignment horizontal="right" vertical="center"/>
      <protection locked="0"/>
    </xf>
    <xf numFmtId="10" fontId="55" fillId="0" borderId="148" xfId="10" applyNumberFormat="1" applyFont="1" applyFill="1" applyBorder="1" applyAlignment="1" applyProtection="1">
      <alignment horizontal="right" vertical="center"/>
      <protection locked="0"/>
    </xf>
    <xf numFmtId="49" fontId="55" fillId="10" borderId="14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5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51" xfId="10" applyNumberFormat="1" applyFont="1" applyFill="1" applyBorder="1" applyAlignment="1" applyProtection="1">
      <alignment horizontal="right" vertical="center"/>
      <protection locked="0"/>
    </xf>
    <xf numFmtId="10" fontId="55" fillId="0" borderId="152" xfId="10" applyNumberFormat="1" applyFont="1" applyFill="1" applyBorder="1" applyAlignment="1" applyProtection="1">
      <alignment horizontal="right" vertical="center"/>
      <protection locked="0"/>
    </xf>
    <xf numFmtId="49" fontId="55" fillId="10" borderId="15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54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55" xfId="10" applyNumberFormat="1" applyFont="1" applyFill="1" applyBorder="1" applyAlignment="1" applyProtection="1">
      <alignment horizontal="right" vertical="center"/>
      <protection locked="0"/>
    </xf>
    <xf numFmtId="10" fontId="55" fillId="0" borderId="156" xfId="10" applyNumberFormat="1" applyFont="1" applyFill="1" applyBorder="1" applyAlignment="1" applyProtection="1">
      <alignment horizontal="right" vertical="center"/>
      <protection locked="0"/>
    </xf>
    <xf numFmtId="49" fontId="55" fillId="10" borderId="15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58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59" xfId="10" applyNumberFormat="1" applyFont="1" applyFill="1" applyBorder="1" applyAlignment="1" applyProtection="1">
      <alignment horizontal="right" vertical="center"/>
      <protection locked="0"/>
    </xf>
    <xf numFmtId="10" fontId="55" fillId="0" borderId="160" xfId="10" applyNumberFormat="1" applyFont="1" applyFill="1" applyBorder="1" applyAlignment="1" applyProtection="1">
      <alignment horizontal="right" vertical="center"/>
      <protection locked="0"/>
    </xf>
    <xf numFmtId="49" fontId="55" fillId="10" borderId="16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6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63" xfId="10" applyNumberFormat="1" applyFont="1" applyFill="1" applyBorder="1" applyAlignment="1" applyProtection="1">
      <alignment horizontal="right" vertical="center"/>
      <protection locked="0"/>
    </xf>
    <xf numFmtId="10" fontId="55" fillId="0" borderId="164" xfId="10" applyNumberFormat="1" applyFont="1" applyFill="1" applyBorder="1" applyAlignment="1" applyProtection="1">
      <alignment horizontal="right" vertical="center"/>
      <protection locked="0"/>
    </xf>
    <xf numFmtId="49" fontId="55" fillId="10" borderId="16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66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67" xfId="10" applyNumberFormat="1" applyFont="1" applyFill="1" applyBorder="1" applyAlignment="1" applyProtection="1">
      <alignment horizontal="right" vertical="center"/>
      <protection locked="0"/>
    </xf>
    <xf numFmtId="10" fontId="55" fillId="0" borderId="168" xfId="10" applyNumberFormat="1" applyFont="1" applyFill="1" applyBorder="1" applyAlignment="1" applyProtection="1">
      <alignment horizontal="right" vertical="center"/>
      <protection locked="0"/>
    </xf>
    <xf numFmtId="49" fontId="55" fillId="10" borderId="16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7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71" xfId="10" applyNumberFormat="1" applyFont="1" applyFill="1" applyBorder="1" applyAlignment="1" applyProtection="1">
      <alignment horizontal="right" vertical="center"/>
      <protection locked="0"/>
    </xf>
    <xf numFmtId="10" fontId="55" fillId="0" borderId="172" xfId="10" applyNumberFormat="1" applyFont="1" applyFill="1" applyBorder="1" applyAlignment="1" applyProtection="1">
      <alignment horizontal="right" vertical="center"/>
      <protection locked="0"/>
    </xf>
    <xf numFmtId="49" fontId="55" fillId="10" borderId="17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74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75" xfId="10" applyNumberFormat="1" applyFont="1" applyFill="1" applyBorder="1" applyAlignment="1" applyProtection="1">
      <alignment horizontal="right" vertical="center"/>
      <protection locked="0"/>
    </xf>
    <xf numFmtId="10" fontId="55" fillId="0" borderId="176" xfId="10" applyNumberFormat="1" applyFont="1" applyFill="1" applyBorder="1" applyAlignment="1" applyProtection="1">
      <alignment horizontal="right" vertical="center"/>
      <protection locked="0"/>
    </xf>
    <xf numFmtId="49" fontId="55" fillId="10" borderId="17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78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79" xfId="10" applyNumberFormat="1" applyFont="1" applyFill="1" applyBorder="1" applyAlignment="1" applyProtection="1">
      <alignment horizontal="right" vertical="center"/>
      <protection locked="0"/>
    </xf>
    <xf numFmtId="10" fontId="55" fillId="0" borderId="180" xfId="10" applyNumberFormat="1" applyFont="1" applyFill="1" applyBorder="1" applyAlignment="1" applyProtection="1">
      <alignment horizontal="right" vertical="center"/>
      <protection locked="0"/>
    </xf>
    <xf numFmtId="49" fontId="55" fillId="10" borderId="18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8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83" xfId="10" applyNumberFormat="1" applyFont="1" applyFill="1" applyBorder="1" applyAlignment="1" applyProtection="1">
      <alignment horizontal="right" vertical="center"/>
      <protection locked="0"/>
    </xf>
    <xf numFmtId="10" fontId="55" fillId="0" borderId="184" xfId="10" applyNumberFormat="1" applyFont="1" applyFill="1" applyBorder="1" applyAlignment="1" applyProtection="1">
      <alignment horizontal="right" vertical="center"/>
      <protection locked="0"/>
    </xf>
    <xf numFmtId="49" fontId="55" fillId="10" borderId="18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86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87" xfId="10" applyNumberFormat="1" applyFont="1" applyFill="1" applyBorder="1" applyAlignment="1" applyProtection="1">
      <alignment horizontal="right" vertical="center"/>
      <protection locked="0"/>
    </xf>
    <xf numFmtId="10" fontId="55" fillId="0" borderId="188" xfId="10" applyNumberFormat="1" applyFont="1" applyFill="1" applyBorder="1" applyAlignment="1" applyProtection="1">
      <alignment horizontal="right" vertical="center"/>
      <protection locked="0"/>
    </xf>
    <xf numFmtId="49" fontId="55" fillId="10" borderId="18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9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91" xfId="10" applyNumberFormat="1" applyFont="1" applyFill="1" applyBorder="1" applyAlignment="1" applyProtection="1">
      <alignment horizontal="right" vertical="center"/>
      <protection locked="0"/>
    </xf>
    <xf numFmtId="10" fontId="55" fillId="0" borderId="192" xfId="10" applyNumberFormat="1" applyFont="1" applyFill="1" applyBorder="1" applyAlignment="1" applyProtection="1">
      <alignment horizontal="right" vertical="center"/>
      <protection locked="0"/>
    </xf>
    <xf numFmtId="49" fontId="55" fillId="10" borderId="19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94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95" xfId="10" applyNumberFormat="1" applyFont="1" applyFill="1" applyBorder="1" applyAlignment="1" applyProtection="1">
      <alignment horizontal="right" vertical="center"/>
      <protection locked="0"/>
    </xf>
    <xf numFmtId="10" fontId="55" fillId="0" borderId="196" xfId="10" applyNumberFormat="1" applyFont="1" applyFill="1" applyBorder="1" applyAlignment="1" applyProtection="1">
      <alignment horizontal="right" vertical="center"/>
      <protection locked="0"/>
    </xf>
    <xf numFmtId="49" fontId="55" fillId="10" borderId="19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98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99" xfId="10" applyNumberFormat="1" applyFont="1" applyFill="1" applyBorder="1" applyAlignment="1" applyProtection="1">
      <alignment horizontal="right" vertical="center"/>
      <protection locked="0"/>
    </xf>
    <xf numFmtId="10" fontId="55" fillId="0" borderId="200" xfId="10" applyNumberFormat="1" applyFont="1" applyFill="1" applyBorder="1" applyAlignment="1" applyProtection="1">
      <alignment horizontal="right" vertical="center"/>
      <protection locked="0"/>
    </xf>
    <xf numFmtId="49" fontId="55" fillId="10" borderId="20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0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203" xfId="10" applyNumberFormat="1" applyFont="1" applyFill="1" applyBorder="1" applyAlignment="1" applyProtection="1">
      <alignment horizontal="right" vertical="center"/>
      <protection locked="0"/>
    </xf>
    <xf numFmtId="10" fontId="55" fillId="0" borderId="204" xfId="10" applyNumberFormat="1" applyFont="1" applyFill="1" applyBorder="1" applyAlignment="1" applyProtection="1">
      <alignment horizontal="right" vertical="center"/>
      <protection locked="0"/>
    </xf>
    <xf numFmtId="49" fontId="55" fillId="10" borderId="20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06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207" xfId="10" applyNumberFormat="1" applyFont="1" applyFill="1" applyBorder="1" applyAlignment="1" applyProtection="1">
      <alignment horizontal="right" vertical="center"/>
      <protection locked="0"/>
    </xf>
    <xf numFmtId="10" fontId="55" fillId="0" borderId="208" xfId="10" applyNumberFormat="1" applyFont="1" applyFill="1" applyBorder="1" applyAlignment="1" applyProtection="1">
      <alignment horizontal="right" vertical="center"/>
      <protection locked="0"/>
    </xf>
    <xf numFmtId="49" fontId="55" fillId="10" borderId="20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1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211" xfId="10" applyNumberFormat="1" applyFont="1" applyFill="1" applyBorder="1" applyAlignment="1" applyProtection="1">
      <alignment horizontal="right" vertical="center"/>
      <protection locked="0"/>
    </xf>
    <xf numFmtId="10" fontId="55" fillId="0" borderId="212" xfId="10" applyNumberFormat="1" applyFont="1" applyFill="1" applyBorder="1" applyAlignment="1" applyProtection="1">
      <alignment horizontal="right" vertical="center"/>
      <protection locked="0"/>
    </xf>
    <xf numFmtId="3" fontId="55" fillId="0" borderId="214" xfId="10" applyNumberFormat="1" applyFont="1" applyFill="1" applyBorder="1" applyAlignment="1" applyProtection="1">
      <alignment horizontal="right" vertical="center"/>
      <protection locked="0"/>
    </xf>
    <xf numFmtId="10" fontId="55" fillId="0" borderId="215" xfId="10" applyNumberFormat="1" applyFont="1" applyFill="1" applyBorder="1" applyAlignment="1" applyProtection="1">
      <alignment horizontal="right" vertical="center"/>
      <protection locked="0"/>
    </xf>
    <xf numFmtId="49" fontId="55" fillId="10" borderId="21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17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5" xfId="10" applyNumberFormat="1" applyFont="1" applyFill="1" applyBorder="1" applyAlignment="1" applyProtection="1">
      <alignment horizontal="right" vertical="center"/>
      <protection locked="0"/>
    </xf>
    <xf numFmtId="10" fontId="55" fillId="0" borderId="5" xfId="10" applyNumberFormat="1" applyFont="1" applyFill="1" applyBorder="1" applyAlignment="1" applyProtection="1">
      <alignment horizontal="right" vertical="center"/>
      <protection locked="0"/>
    </xf>
    <xf numFmtId="3" fontId="59" fillId="0" borderId="214" xfId="10" applyNumberFormat="1" applyFont="1" applyFill="1" applyBorder="1" applyAlignment="1" applyProtection="1">
      <alignment horizontal="right" vertical="center"/>
      <protection locked="0"/>
    </xf>
    <xf numFmtId="10" fontId="59" fillId="0" borderId="215" xfId="10" applyNumberFormat="1" applyFont="1" applyFill="1" applyBorder="1" applyAlignment="1" applyProtection="1">
      <alignment horizontal="right" vertical="center"/>
      <protection locked="0"/>
    </xf>
    <xf numFmtId="3" fontId="55" fillId="0" borderId="222" xfId="10" applyNumberFormat="1" applyFont="1" applyFill="1" applyBorder="1" applyAlignment="1" applyProtection="1">
      <alignment horizontal="right" vertical="center"/>
      <protection locked="0"/>
    </xf>
    <xf numFmtId="10" fontId="55" fillId="0" borderId="223" xfId="10" applyNumberFormat="1" applyFont="1" applyFill="1" applyBorder="1" applyAlignment="1" applyProtection="1">
      <alignment horizontal="right" vertical="center"/>
      <protection locked="0"/>
    </xf>
    <xf numFmtId="49" fontId="55" fillId="10" borderId="22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25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7" xfId="10" applyNumberFormat="1" applyFont="1" applyFill="1" applyBorder="1" applyAlignment="1" applyProtection="1">
      <alignment horizontal="right" vertical="center"/>
      <protection locked="0"/>
    </xf>
    <xf numFmtId="10" fontId="55" fillId="0" borderId="226" xfId="10" applyNumberFormat="1" applyFont="1" applyFill="1" applyBorder="1" applyAlignment="1" applyProtection="1">
      <alignment horizontal="right" vertical="center"/>
      <protection locked="0"/>
    </xf>
    <xf numFmtId="3" fontId="60" fillId="14" borderId="227" xfId="10" applyNumberFormat="1" applyFont="1" applyFill="1" applyBorder="1" applyAlignment="1" applyProtection="1">
      <alignment horizontal="right" vertical="center"/>
      <protection locked="0"/>
    </xf>
    <xf numFmtId="10" fontId="60" fillId="14" borderId="228" xfId="10" applyNumberFormat="1" applyFont="1" applyFill="1" applyBorder="1" applyAlignment="1" applyProtection="1">
      <alignment horizontal="right" vertical="center"/>
      <protection locked="0"/>
    </xf>
    <xf numFmtId="49" fontId="55" fillId="0" borderId="15" xfId="10" applyNumberFormat="1" applyFont="1" applyFill="1" applyBorder="1" applyAlignment="1" applyProtection="1">
      <alignment horizontal="center" vertical="center" wrapText="1"/>
      <protection locked="0"/>
    </xf>
    <xf numFmtId="3" fontId="55" fillId="0" borderId="229" xfId="10" applyNumberFormat="1" applyFont="1" applyFill="1" applyBorder="1" applyAlignment="1" applyProtection="1">
      <alignment horizontal="right" vertical="center"/>
      <protection locked="0"/>
    </xf>
    <xf numFmtId="10" fontId="55" fillId="0" borderId="230" xfId="10" applyNumberFormat="1" applyFont="1" applyFill="1" applyBorder="1" applyAlignment="1" applyProtection="1">
      <alignment horizontal="right" vertical="center"/>
      <protection locked="0"/>
    </xf>
    <xf numFmtId="3" fontId="61" fillId="0" borderId="232" xfId="10" applyNumberFormat="1" applyFont="1" applyFill="1" applyBorder="1" applyAlignment="1" applyProtection="1">
      <alignment horizontal="right" vertical="center"/>
      <protection locked="0"/>
    </xf>
    <xf numFmtId="10" fontId="61" fillId="0" borderId="233" xfId="10" applyNumberFormat="1" applyFont="1" applyFill="1" applyBorder="1" applyAlignment="1" applyProtection="1">
      <alignment horizontal="right" vertical="center"/>
      <protection locked="0"/>
    </xf>
    <xf numFmtId="49" fontId="55" fillId="10" borderId="23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35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236" xfId="10" applyNumberFormat="1" applyFont="1" applyFill="1" applyBorder="1" applyAlignment="1" applyProtection="1">
      <alignment horizontal="right" vertical="center"/>
      <protection locked="0"/>
    </xf>
    <xf numFmtId="10" fontId="55" fillId="0" borderId="237" xfId="10" applyNumberFormat="1" applyFont="1" applyFill="1" applyBorder="1" applyAlignment="1" applyProtection="1">
      <alignment horizontal="right" vertical="center"/>
      <protection locked="0"/>
    </xf>
    <xf numFmtId="49" fontId="55" fillId="10" borderId="23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39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240" xfId="10" applyNumberFormat="1" applyFont="1" applyFill="1" applyBorder="1" applyAlignment="1" applyProtection="1">
      <alignment horizontal="right" vertical="center"/>
      <protection locked="0"/>
    </xf>
    <xf numFmtId="10" fontId="55" fillId="0" borderId="241" xfId="10" applyNumberFormat="1" applyFont="1" applyFill="1" applyBorder="1" applyAlignment="1" applyProtection="1">
      <alignment horizontal="right" vertical="center"/>
      <protection locked="0"/>
    </xf>
    <xf numFmtId="49" fontId="55" fillId="10" borderId="24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43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244" xfId="10" applyNumberFormat="1" applyFont="1" applyFill="1" applyBorder="1" applyAlignment="1" applyProtection="1">
      <alignment horizontal="right" vertical="center"/>
      <protection locked="0"/>
    </xf>
    <xf numFmtId="10" fontId="55" fillId="0" borderId="245" xfId="10" applyNumberFormat="1" applyFont="1" applyFill="1" applyBorder="1" applyAlignment="1" applyProtection="1">
      <alignment horizontal="right" vertical="center"/>
      <protection locked="0"/>
    </xf>
    <xf numFmtId="49" fontId="55" fillId="10" borderId="24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47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248" xfId="10" applyNumberFormat="1" applyFont="1" applyFill="1" applyBorder="1" applyAlignment="1" applyProtection="1">
      <alignment horizontal="right" vertical="center"/>
      <protection locked="0"/>
    </xf>
    <xf numFmtId="10" fontId="55" fillId="0" borderId="249" xfId="10" applyNumberFormat="1" applyFont="1" applyFill="1" applyBorder="1" applyAlignment="1" applyProtection="1">
      <alignment horizontal="right" vertical="center"/>
      <protection locked="0"/>
    </xf>
    <xf numFmtId="49" fontId="55" fillId="10" borderId="25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51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252" xfId="10" applyNumberFormat="1" applyFont="1" applyFill="1" applyBorder="1" applyAlignment="1" applyProtection="1">
      <alignment horizontal="right" vertical="center"/>
      <protection locked="0"/>
    </xf>
    <xf numFmtId="10" fontId="55" fillId="0" borderId="253" xfId="10" applyNumberFormat="1" applyFont="1" applyFill="1" applyBorder="1" applyAlignment="1" applyProtection="1">
      <alignment horizontal="right" vertical="center"/>
      <protection locked="0"/>
    </xf>
    <xf numFmtId="49" fontId="55" fillId="10" borderId="0" xfId="10" applyNumberFormat="1" applyFont="1" applyFill="1" applyBorder="1" applyAlignment="1" applyProtection="1">
      <alignment vertical="center" wrapText="1"/>
      <protection locked="0"/>
    </xf>
    <xf numFmtId="49" fontId="55" fillId="10" borderId="252" xfId="10" applyNumberFormat="1" applyFont="1" applyFill="1" applyBorder="1" applyAlignment="1" applyProtection="1">
      <alignment vertical="center" wrapText="1"/>
      <protection locked="0"/>
    </xf>
    <xf numFmtId="10" fontId="55" fillId="10" borderId="253" xfId="10" applyNumberFormat="1" applyFont="1" applyFill="1" applyBorder="1" applyAlignment="1" applyProtection="1">
      <alignment horizontal="right" vertical="center" wrapText="1"/>
      <protection locked="0"/>
    </xf>
    <xf numFmtId="3" fontId="61" fillId="0" borderId="255" xfId="10" applyNumberFormat="1" applyFont="1" applyFill="1" applyBorder="1" applyAlignment="1" applyProtection="1">
      <alignment horizontal="right" vertical="center"/>
      <protection locked="0"/>
    </xf>
    <xf numFmtId="10" fontId="61" fillId="0" borderId="256" xfId="10" applyNumberFormat="1" applyFont="1" applyFill="1" applyBorder="1" applyAlignment="1" applyProtection="1">
      <alignment horizontal="right" vertical="center"/>
      <protection locked="0"/>
    </xf>
    <xf numFmtId="49" fontId="55" fillId="10" borderId="25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58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259" xfId="10" applyNumberFormat="1" applyFont="1" applyFill="1" applyBorder="1" applyAlignment="1" applyProtection="1">
      <alignment horizontal="right" vertical="center"/>
      <protection locked="0"/>
    </xf>
    <xf numFmtId="10" fontId="55" fillId="0" borderId="260" xfId="10" applyNumberFormat="1" applyFont="1" applyFill="1" applyBorder="1" applyAlignment="1" applyProtection="1">
      <alignment horizontal="right" vertical="center"/>
      <protection locked="0"/>
    </xf>
    <xf numFmtId="49" fontId="55" fillId="10" borderId="26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6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263" xfId="10" applyNumberFormat="1" applyFont="1" applyFill="1" applyBorder="1" applyAlignment="1" applyProtection="1">
      <alignment horizontal="right" vertical="center"/>
      <protection locked="0"/>
    </xf>
    <xf numFmtId="10" fontId="55" fillId="0" borderId="264" xfId="10" applyNumberFormat="1" applyFont="1" applyFill="1" applyBorder="1" applyAlignment="1" applyProtection="1">
      <alignment horizontal="right" vertical="center"/>
      <protection locked="0"/>
    </xf>
    <xf numFmtId="49" fontId="55" fillId="10" borderId="26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66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267" xfId="10" applyNumberFormat="1" applyFont="1" applyFill="1" applyBorder="1" applyAlignment="1" applyProtection="1">
      <alignment horizontal="right" vertical="center"/>
      <protection locked="0"/>
    </xf>
    <xf numFmtId="10" fontId="55" fillId="0" borderId="268" xfId="10" applyNumberFormat="1" applyFont="1" applyFill="1" applyBorder="1" applyAlignment="1" applyProtection="1">
      <alignment horizontal="right" vertical="center"/>
      <protection locked="0"/>
    </xf>
    <xf numFmtId="49" fontId="55" fillId="10" borderId="26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7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271" xfId="10" applyNumberFormat="1" applyFont="1" applyFill="1" applyBorder="1" applyAlignment="1" applyProtection="1">
      <alignment horizontal="right" vertical="center"/>
      <protection locked="0"/>
    </xf>
    <xf numFmtId="10" fontId="55" fillId="0" borderId="272" xfId="10" applyNumberFormat="1" applyFont="1" applyFill="1" applyBorder="1" applyAlignment="1" applyProtection="1">
      <alignment horizontal="right" vertical="center"/>
      <protection locked="0"/>
    </xf>
    <xf numFmtId="49" fontId="55" fillId="10" borderId="27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74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275" xfId="10" applyNumberFormat="1" applyFont="1" applyFill="1" applyBorder="1" applyAlignment="1" applyProtection="1">
      <alignment horizontal="right" vertical="center"/>
      <protection locked="0"/>
    </xf>
    <xf numFmtId="10" fontId="55" fillId="0" borderId="276" xfId="10" applyNumberFormat="1" applyFont="1" applyFill="1" applyBorder="1" applyAlignment="1" applyProtection="1">
      <alignment horizontal="right" vertical="center"/>
      <protection locked="0"/>
    </xf>
    <xf numFmtId="49" fontId="55" fillId="10" borderId="27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78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279" xfId="10" applyNumberFormat="1" applyFont="1" applyFill="1" applyBorder="1" applyAlignment="1" applyProtection="1">
      <alignment horizontal="right" vertical="center"/>
      <protection locked="0"/>
    </xf>
    <xf numFmtId="10" fontId="55" fillId="0" borderId="280" xfId="10" applyNumberFormat="1" applyFont="1" applyFill="1" applyBorder="1" applyAlignment="1" applyProtection="1">
      <alignment horizontal="right" vertical="center"/>
      <protection locked="0"/>
    </xf>
    <xf numFmtId="49" fontId="55" fillId="10" borderId="28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8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283" xfId="10" applyNumberFormat="1" applyFont="1" applyFill="1" applyBorder="1" applyAlignment="1" applyProtection="1">
      <alignment horizontal="right" vertical="center"/>
      <protection locked="0"/>
    </xf>
    <xf numFmtId="10" fontId="55" fillId="0" borderId="284" xfId="10" applyNumberFormat="1" applyFont="1" applyFill="1" applyBorder="1" applyAlignment="1" applyProtection="1">
      <alignment horizontal="right" vertical="center"/>
      <protection locked="0"/>
    </xf>
    <xf numFmtId="49" fontId="55" fillId="10" borderId="28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86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28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88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28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9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292" xfId="10" applyNumberFormat="1" applyFont="1" applyFill="1" applyBorder="1" applyAlignment="1" applyProtection="1">
      <alignment horizontal="right" vertical="center"/>
      <protection locked="0"/>
    </xf>
    <xf numFmtId="10" fontId="55" fillId="0" borderId="293" xfId="10" applyNumberFormat="1" applyFont="1" applyFill="1" applyBorder="1" applyAlignment="1" applyProtection="1">
      <alignment horizontal="right" vertical="center"/>
      <protection locked="0"/>
    </xf>
    <xf numFmtId="49" fontId="55" fillId="10" borderId="29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95" xfId="10" applyNumberFormat="1" applyFont="1" applyFill="1" applyBorder="1" applyAlignment="1" applyProtection="1">
      <alignment horizontal="left" vertical="center" wrapText="1"/>
      <protection locked="0"/>
    </xf>
    <xf numFmtId="3" fontId="60" fillId="14" borderId="296" xfId="10" applyNumberFormat="1" applyFont="1" applyFill="1" applyBorder="1" applyAlignment="1" applyProtection="1">
      <alignment horizontal="right" vertical="center"/>
      <protection locked="0"/>
    </xf>
    <xf numFmtId="10" fontId="60" fillId="14" borderId="297" xfId="10" applyNumberFormat="1" applyFont="1" applyFill="1" applyBorder="1" applyAlignment="1" applyProtection="1">
      <alignment horizontal="right" vertical="center"/>
      <protection locked="0"/>
    </xf>
    <xf numFmtId="3" fontId="61" fillId="0" borderId="283" xfId="10" applyNumberFormat="1" applyFont="1" applyFill="1" applyBorder="1" applyAlignment="1" applyProtection="1">
      <alignment horizontal="right" vertical="center"/>
      <protection locked="0"/>
    </xf>
    <xf numFmtId="10" fontId="61" fillId="0" borderId="293" xfId="10" applyNumberFormat="1" applyFont="1" applyFill="1" applyBorder="1" applyAlignment="1" applyProtection="1">
      <alignment horizontal="right" vertical="center"/>
      <protection locked="0"/>
    </xf>
    <xf numFmtId="49" fontId="55" fillId="10" borderId="29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00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10" fontId="0" fillId="0" borderId="5" xfId="0" applyNumberFormat="1" applyBorder="1" applyAlignment="1">
      <alignment horizontal="right" vertical="center"/>
    </xf>
    <xf numFmtId="49" fontId="55" fillId="10" borderId="30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0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0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283" xfId="10" applyNumberFormat="1" applyFont="1" applyFill="1" applyBorder="1" applyAlignment="1" applyProtection="1">
      <alignment vertical="center" wrapText="1"/>
      <protection locked="0"/>
    </xf>
    <xf numFmtId="10" fontId="55" fillId="10" borderId="306" xfId="10" applyNumberFormat="1" applyFont="1" applyFill="1" applyBorder="1" applyAlignment="1" applyProtection="1">
      <alignment horizontal="right" vertical="center" wrapText="1"/>
      <protection locked="0"/>
    </xf>
    <xf numFmtId="3" fontId="55" fillId="10" borderId="15" xfId="10" applyNumberFormat="1" applyFont="1" applyFill="1" applyBorder="1" applyAlignment="1" applyProtection="1">
      <alignment horizontal="right" vertical="center" wrapText="1"/>
      <protection locked="0"/>
    </xf>
    <xf numFmtId="49" fontId="55" fillId="10" borderId="30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08" xfId="10" applyNumberFormat="1" applyFont="1" applyFill="1" applyBorder="1" applyAlignment="1" applyProtection="1">
      <alignment horizontal="left" vertical="center" wrapText="1"/>
      <protection locked="0"/>
    </xf>
    <xf numFmtId="3" fontId="55" fillId="10" borderId="283" xfId="10" applyNumberFormat="1" applyFont="1" applyFill="1" applyBorder="1" applyAlignment="1" applyProtection="1">
      <alignment horizontal="right" vertical="center" wrapText="1"/>
      <protection locked="0"/>
    </xf>
    <xf numFmtId="3" fontId="59" fillId="0" borderId="311" xfId="10" applyNumberFormat="1" applyFont="1" applyFill="1" applyBorder="1" applyAlignment="1" applyProtection="1">
      <alignment horizontal="right" vertical="center"/>
      <protection locked="0"/>
    </xf>
    <xf numFmtId="10" fontId="59" fillId="0" borderId="312" xfId="10" applyNumberFormat="1" applyFont="1" applyFill="1" applyBorder="1" applyAlignment="1" applyProtection="1">
      <alignment horizontal="right" vertical="center"/>
      <protection locked="0"/>
    </xf>
    <xf numFmtId="3" fontId="55" fillId="0" borderId="311" xfId="10" applyNumberFormat="1" applyFont="1" applyFill="1" applyBorder="1" applyAlignment="1" applyProtection="1">
      <alignment horizontal="right" vertical="center"/>
      <protection locked="0"/>
    </xf>
    <xf numFmtId="10" fontId="55" fillId="0" borderId="312" xfId="10" applyNumberFormat="1" applyFont="1" applyFill="1" applyBorder="1" applyAlignment="1" applyProtection="1">
      <alignment horizontal="right" vertical="center"/>
      <protection locked="0"/>
    </xf>
    <xf numFmtId="49" fontId="55" fillId="10" borderId="31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15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31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17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318" xfId="10" applyNumberFormat="1" applyFont="1" applyFill="1" applyBorder="1" applyAlignment="1" applyProtection="1">
      <alignment horizontal="center" vertical="center" wrapText="1"/>
      <protection locked="0"/>
    </xf>
    <xf numFmtId="0" fontId="23" fillId="0" borderId="319" xfId="0" applyFont="1" applyBorder="1" applyAlignment="1">
      <alignment horizontal="left" vertical="center" wrapText="1"/>
    </xf>
    <xf numFmtId="3" fontId="55" fillId="0" borderId="320" xfId="10" applyNumberFormat="1" applyFont="1" applyFill="1" applyBorder="1" applyAlignment="1" applyProtection="1">
      <alignment horizontal="right" vertical="center"/>
      <protection locked="0"/>
    </xf>
    <xf numFmtId="10" fontId="55" fillId="0" borderId="321" xfId="10" applyNumberFormat="1" applyFont="1" applyFill="1" applyBorder="1" applyAlignment="1" applyProtection="1">
      <alignment horizontal="right" vertical="center"/>
      <protection locked="0"/>
    </xf>
    <xf numFmtId="49" fontId="60" fillId="13" borderId="4" xfId="10" applyNumberFormat="1" applyFont="1" applyFill="1" applyBorder="1" applyAlignment="1" applyProtection="1">
      <alignment horizontal="center" vertical="center" wrapText="1"/>
      <protection locked="0"/>
    </xf>
    <xf numFmtId="49" fontId="60" fillId="13" borderId="322" xfId="10" applyNumberFormat="1" applyFont="1" applyFill="1" applyBorder="1" applyAlignment="1" applyProtection="1">
      <alignment horizontal="center" vertical="center" wrapText="1"/>
      <protection locked="0"/>
    </xf>
    <xf numFmtId="49" fontId="60" fillId="13" borderId="323" xfId="10" applyNumberFormat="1" applyFont="1" applyFill="1" applyBorder="1" applyAlignment="1" applyProtection="1">
      <alignment horizontal="left" vertical="center" wrapText="1"/>
      <protection locked="0"/>
    </xf>
    <xf numFmtId="3" fontId="60" fillId="14" borderId="4" xfId="10" applyNumberFormat="1" applyFont="1" applyFill="1" applyBorder="1" applyAlignment="1" applyProtection="1">
      <alignment horizontal="right" vertical="center"/>
      <protection locked="0"/>
    </xf>
    <xf numFmtId="10" fontId="60" fillId="14" borderId="12" xfId="10" applyNumberFormat="1" applyFont="1" applyFill="1" applyBorder="1" applyAlignment="1" applyProtection="1">
      <alignment horizontal="right" vertical="center"/>
      <protection locked="0"/>
    </xf>
    <xf numFmtId="10" fontId="55" fillId="0" borderId="306" xfId="10" applyNumberFormat="1" applyFont="1" applyFill="1" applyBorder="1" applyAlignment="1" applyProtection="1">
      <alignment horizontal="right" vertical="center"/>
      <protection locked="0"/>
    </xf>
    <xf numFmtId="49" fontId="55" fillId="0" borderId="327" xfId="10" applyNumberFormat="1" applyFont="1" applyFill="1" applyBorder="1" applyAlignment="1" applyProtection="1">
      <alignment horizontal="center" vertical="center" wrapText="1"/>
      <protection locked="0"/>
    </xf>
    <xf numFmtId="2" fontId="55" fillId="0" borderId="328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32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3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31" xfId="10" applyNumberFormat="1" applyFont="1" applyFill="1" applyBorder="1" applyAlignment="1" applyProtection="1">
      <alignment horizontal="right" vertical="center"/>
      <protection locked="0"/>
    </xf>
    <xf numFmtId="10" fontId="55" fillId="0" borderId="332" xfId="10" applyNumberFormat="1" applyFont="1" applyFill="1" applyBorder="1" applyAlignment="1" applyProtection="1">
      <alignment horizontal="right" vertical="center"/>
      <protection locked="0"/>
    </xf>
    <xf numFmtId="49" fontId="55" fillId="10" borderId="33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34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35" xfId="10" applyNumberFormat="1" applyFont="1" applyFill="1" applyBorder="1" applyAlignment="1" applyProtection="1">
      <alignment horizontal="right" vertical="center"/>
      <protection locked="0"/>
    </xf>
    <xf numFmtId="10" fontId="55" fillId="0" borderId="336" xfId="10" applyNumberFormat="1" applyFont="1" applyFill="1" applyBorder="1" applyAlignment="1" applyProtection="1">
      <alignment horizontal="right" vertical="center"/>
      <protection locked="0"/>
    </xf>
    <xf numFmtId="49" fontId="55" fillId="10" borderId="33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38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39" xfId="10" applyNumberFormat="1" applyFont="1" applyFill="1" applyBorder="1" applyAlignment="1" applyProtection="1">
      <alignment horizontal="right" vertical="center"/>
      <protection locked="0"/>
    </xf>
    <xf numFmtId="10" fontId="55" fillId="0" borderId="340" xfId="10" applyNumberFormat="1" applyFont="1" applyFill="1" applyBorder="1" applyAlignment="1" applyProtection="1">
      <alignment horizontal="right" vertical="center"/>
      <protection locked="0"/>
    </xf>
    <xf numFmtId="49" fontId="55" fillId="10" borderId="34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4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43" xfId="10" applyNumberFormat="1" applyFont="1" applyFill="1" applyBorder="1" applyAlignment="1" applyProtection="1">
      <alignment horizontal="right" vertical="center"/>
      <protection locked="0"/>
    </xf>
    <xf numFmtId="10" fontId="55" fillId="0" borderId="344" xfId="10" applyNumberFormat="1" applyFont="1" applyFill="1" applyBorder="1" applyAlignment="1" applyProtection="1">
      <alignment horizontal="right" vertical="center"/>
      <protection locked="0"/>
    </xf>
    <xf numFmtId="49" fontId="55" fillId="10" borderId="34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46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47" xfId="10" applyNumberFormat="1" applyFont="1" applyFill="1" applyBorder="1" applyAlignment="1" applyProtection="1">
      <alignment horizontal="right" vertical="center"/>
      <protection locked="0"/>
    </xf>
    <xf numFmtId="10" fontId="55" fillId="0" borderId="348" xfId="10" applyNumberFormat="1" applyFont="1" applyFill="1" applyBorder="1" applyAlignment="1" applyProtection="1">
      <alignment horizontal="right" vertical="center"/>
      <protection locked="0"/>
    </xf>
    <xf numFmtId="49" fontId="55" fillId="10" borderId="34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5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51" xfId="10" applyNumberFormat="1" applyFont="1" applyFill="1" applyBorder="1" applyAlignment="1" applyProtection="1">
      <alignment horizontal="right" vertical="center"/>
      <protection locked="0"/>
    </xf>
    <xf numFmtId="10" fontId="55" fillId="0" borderId="352" xfId="10" applyNumberFormat="1" applyFont="1" applyFill="1" applyBorder="1" applyAlignment="1" applyProtection="1">
      <alignment horizontal="right" vertical="center"/>
      <protection locked="0"/>
    </xf>
    <xf numFmtId="49" fontId="55" fillId="10" borderId="35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54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55" xfId="10" applyNumberFormat="1" applyFont="1" applyFill="1" applyBorder="1" applyAlignment="1" applyProtection="1">
      <alignment horizontal="right" vertical="center"/>
      <protection locked="0"/>
    </xf>
    <xf numFmtId="10" fontId="55" fillId="0" borderId="356" xfId="10" applyNumberFormat="1" applyFont="1" applyFill="1" applyBorder="1" applyAlignment="1" applyProtection="1">
      <alignment horizontal="right" vertical="center"/>
      <protection locked="0"/>
    </xf>
    <xf numFmtId="49" fontId="55" fillId="10" borderId="35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58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59" xfId="10" applyNumberFormat="1" applyFont="1" applyFill="1" applyBorder="1" applyAlignment="1" applyProtection="1">
      <alignment horizontal="right" vertical="center"/>
      <protection locked="0"/>
    </xf>
    <xf numFmtId="10" fontId="55" fillId="0" borderId="360" xfId="10" applyNumberFormat="1" applyFont="1" applyFill="1" applyBorder="1" applyAlignment="1" applyProtection="1">
      <alignment horizontal="right" vertical="center"/>
      <protection locked="0"/>
    </xf>
    <xf numFmtId="49" fontId="55" fillId="10" borderId="36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6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63" xfId="10" applyNumberFormat="1" applyFont="1" applyFill="1" applyBorder="1" applyAlignment="1" applyProtection="1">
      <alignment horizontal="right" vertical="center"/>
      <protection locked="0"/>
    </xf>
    <xf numFmtId="10" fontId="55" fillId="0" borderId="364" xfId="10" applyNumberFormat="1" applyFont="1" applyFill="1" applyBorder="1" applyAlignment="1" applyProtection="1">
      <alignment horizontal="right" vertical="center"/>
      <protection locked="0"/>
    </xf>
    <xf numFmtId="49" fontId="55" fillId="10" borderId="36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66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67" xfId="10" applyNumberFormat="1" applyFont="1" applyFill="1" applyBorder="1" applyAlignment="1" applyProtection="1">
      <alignment horizontal="right" vertical="center"/>
      <protection locked="0"/>
    </xf>
    <xf numFmtId="10" fontId="55" fillId="0" borderId="368" xfId="10" applyNumberFormat="1" applyFont="1" applyFill="1" applyBorder="1" applyAlignment="1" applyProtection="1">
      <alignment horizontal="right" vertical="center"/>
      <protection locked="0"/>
    </xf>
    <xf numFmtId="49" fontId="55" fillId="10" borderId="36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7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71" xfId="10" applyNumberFormat="1" applyFont="1" applyFill="1" applyBorder="1" applyAlignment="1" applyProtection="1">
      <alignment horizontal="right" vertical="center"/>
      <protection locked="0"/>
    </xf>
    <xf numFmtId="10" fontId="55" fillId="0" borderId="372" xfId="10" applyNumberFormat="1" applyFont="1" applyFill="1" applyBorder="1" applyAlignment="1" applyProtection="1">
      <alignment horizontal="right" vertical="center"/>
      <protection locked="0"/>
    </xf>
    <xf numFmtId="49" fontId="55" fillId="10" borderId="37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74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75" xfId="10" applyNumberFormat="1" applyFont="1" applyFill="1" applyBorder="1" applyAlignment="1" applyProtection="1">
      <alignment horizontal="right" vertical="center"/>
      <protection locked="0"/>
    </xf>
    <xf numFmtId="10" fontId="55" fillId="0" borderId="376" xfId="10" applyNumberFormat="1" applyFont="1" applyFill="1" applyBorder="1" applyAlignment="1" applyProtection="1">
      <alignment horizontal="right" vertical="center"/>
      <protection locked="0"/>
    </xf>
    <xf numFmtId="49" fontId="55" fillId="10" borderId="37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78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79" xfId="10" applyNumberFormat="1" applyFont="1" applyFill="1" applyBorder="1" applyAlignment="1" applyProtection="1">
      <alignment horizontal="right" vertical="center"/>
      <protection locked="0"/>
    </xf>
    <xf numFmtId="10" fontId="55" fillId="0" borderId="380" xfId="10" applyNumberFormat="1" applyFont="1" applyFill="1" applyBorder="1" applyAlignment="1" applyProtection="1">
      <alignment horizontal="right" vertical="center"/>
      <protection locked="0"/>
    </xf>
    <xf numFmtId="49" fontId="55" fillId="10" borderId="38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8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83" xfId="10" applyNumberFormat="1" applyFont="1" applyFill="1" applyBorder="1" applyAlignment="1" applyProtection="1">
      <alignment horizontal="right" vertical="center"/>
      <protection locked="0"/>
    </xf>
    <xf numFmtId="10" fontId="55" fillId="0" borderId="384" xfId="10" applyNumberFormat="1" applyFont="1" applyFill="1" applyBorder="1" applyAlignment="1" applyProtection="1">
      <alignment horizontal="right" vertical="center"/>
      <protection locked="0"/>
    </xf>
    <xf numFmtId="49" fontId="55" fillId="10" borderId="38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86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87" xfId="10" applyNumberFormat="1" applyFont="1" applyFill="1" applyBorder="1" applyAlignment="1" applyProtection="1">
      <alignment horizontal="right" vertical="center"/>
      <protection locked="0"/>
    </xf>
    <xf numFmtId="10" fontId="55" fillId="0" borderId="388" xfId="10" applyNumberFormat="1" applyFont="1" applyFill="1" applyBorder="1" applyAlignment="1" applyProtection="1">
      <alignment horizontal="right" vertical="center"/>
      <protection locked="0"/>
    </xf>
    <xf numFmtId="49" fontId="55" fillId="10" borderId="38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9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91" xfId="10" applyNumberFormat="1" applyFont="1" applyFill="1" applyBorder="1" applyAlignment="1" applyProtection="1">
      <alignment horizontal="right" vertical="center"/>
      <protection locked="0"/>
    </xf>
    <xf numFmtId="10" fontId="55" fillId="0" borderId="392" xfId="10" applyNumberFormat="1" applyFont="1" applyFill="1" applyBorder="1" applyAlignment="1" applyProtection="1">
      <alignment horizontal="right" vertical="center"/>
      <protection locked="0"/>
    </xf>
    <xf numFmtId="49" fontId="55" fillId="10" borderId="39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94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95" xfId="10" applyNumberFormat="1" applyFont="1" applyFill="1" applyBorder="1" applyAlignment="1" applyProtection="1">
      <alignment horizontal="right" vertical="center"/>
      <protection locked="0"/>
    </xf>
    <xf numFmtId="10" fontId="55" fillId="0" borderId="396" xfId="10" applyNumberFormat="1" applyFont="1" applyFill="1" applyBorder="1" applyAlignment="1" applyProtection="1">
      <alignment horizontal="right" vertical="center"/>
      <protection locked="0"/>
    </xf>
    <xf numFmtId="49" fontId="55" fillId="10" borderId="39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98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399" xfId="10" applyNumberFormat="1" applyFont="1" applyFill="1" applyBorder="1" applyAlignment="1" applyProtection="1">
      <alignment horizontal="right" vertical="center"/>
      <protection locked="0"/>
    </xf>
    <xf numFmtId="10" fontId="55" fillId="0" borderId="400" xfId="10" applyNumberFormat="1" applyFont="1" applyFill="1" applyBorder="1" applyAlignment="1" applyProtection="1">
      <alignment horizontal="right" vertical="center"/>
      <protection locked="0"/>
    </xf>
    <xf numFmtId="49" fontId="55" fillId="10" borderId="40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0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403" xfId="10" applyNumberFormat="1" applyFont="1" applyFill="1" applyBorder="1" applyAlignment="1" applyProtection="1">
      <alignment horizontal="right" vertical="center"/>
      <protection locked="0"/>
    </xf>
    <xf numFmtId="10" fontId="55" fillId="0" borderId="404" xfId="10" applyNumberFormat="1" applyFont="1" applyFill="1" applyBorder="1" applyAlignment="1" applyProtection="1">
      <alignment horizontal="right" vertical="center"/>
      <protection locked="0"/>
    </xf>
    <xf numFmtId="49" fontId="55" fillId="10" borderId="40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06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407" xfId="10" applyNumberFormat="1" applyFont="1" applyFill="1" applyBorder="1" applyAlignment="1" applyProtection="1">
      <alignment horizontal="right" vertical="center"/>
      <protection locked="0"/>
    </xf>
    <xf numFmtId="10" fontId="55" fillId="0" borderId="408" xfId="10" applyNumberFormat="1" applyFont="1" applyFill="1" applyBorder="1" applyAlignment="1" applyProtection="1">
      <alignment horizontal="right" vertical="center"/>
      <protection locked="0"/>
    </xf>
    <xf numFmtId="49" fontId="55" fillId="10" borderId="40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1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411" xfId="10" applyNumberFormat="1" applyFont="1" applyFill="1" applyBorder="1" applyAlignment="1" applyProtection="1">
      <alignment horizontal="right" vertical="center"/>
      <protection locked="0"/>
    </xf>
    <xf numFmtId="10" fontId="55" fillId="0" borderId="412" xfId="10" applyNumberFormat="1" applyFont="1" applyFill="1" applyBorder="1" applyAlignment="1" applyProtection="1">
      <alignment horizontal="right" vertical="center"/>
      <protection locked="0"/>
    </xf>
    <xf numFmtId="49" fontId="55" fillId="10" borderId="41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14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415" xfId="10" applyNumberFormat="1" applyFont="1" applyFill="1" applyBorder="1" applyAlignment="1" applyProtection="1">
      <alignment horizontal="right" vertical="center"/>
      <protection locked="0"/>
    </xf>
    <xf numFmtId="10" fontId="55" fillId="0" borderId="416" xfId="10" applyNumberFormat="1" applyFont="1" applyFill="1" applyBorder="1" applyAlignment="1" applyProtection="1">
      <alignment horizontal="right" vertical="center"/>
      <protection locked="0"/>
    </xf>
    <xf numFmtId="49" fontId="55" fillId="10" borderId="41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18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419" xfId="10" applyNumberFormat="1" applyFont="1" applyFill="1" applyBorder="1" applyAlignment="1" applyProtection="1">
      <alignment horizontal="right" vertical="center"/>
      <protection locked="0"/>
    </xf>
    <xf numFmtId="10" fontId="55" fillId="0" borderId="420" xfId="10" applyNumberFormat="1" applyFont="1" applyFill="1" applyBorder="1" applyAlignment="1" applyProtection="1">
      <alignment horizontal="right" vertical="center"/>
      <protection locked="0"/>
    </xf>
    <xf numFmtId="49" fontId="55" fillId="10" borderId="42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2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423" xfId="10" applyNumberFormat="1" applyFont="1" applyFill="1" applyBorder="1" applyAlignment="1" applyProtection="1">
      <alignment horizontal="right" vertical="center"/>
      <protection locked="0"/>
    </xf>
    <xf numFmtId="10" fontId="55" fillId="0" borderId="424" xfId="10" applyNumberFormat="1" applyFont="1" applyFill="1" applyBorder="1" applyAlignment="1" applyProtection="1">
      <alignment horizontal="right" vertical="center"/>
      <protection locked="0"/>
    </xf>
    <xf numFmtId="49" fontId="55" fillId="10" borderId="42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26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427" xfId="10" applyNumberFormat="1" applyFont="1" applyFill="1" applyBorder="1" applyAlignment="1" applyProtection="1">
      <alignment horizontal="right" vertical="center"/>
      <protection locked="0"/>
    </xf>
    <xf numFmtId="10" fontId="55" fillId="0" borderId="428" xfId="10" applyNumberFormat="1" applyFont="1" applyFill="1" applyBorder="1" applyAlignment="1" applyProtection="1">
      <alignment horizontal="right" vertical="center"/>
      <protection locked="0"/>
    </xf>
    <xf numFmtId="49" fontId="55" fillId="10" borderId="42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3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431" xfId="10" applyNumberFormat="1" applyFont="1" applyFill="1" applyBorder="1" applyAlignment="1" applyProtection="1">
      <alignment horizontal="right" vertical="center"/>
      <protection locked="0"/>
    </xf>
    <xf numFmtId="10" fontId="55" fillId="0" borderId="432" xfId="10" applyNumberFormat="1" applyFont="1" applyFill="1" applyBorder="1" applyAlignment="1" applyProtection="1">
      <alignment horizontal="right" vertical="center"/>
      <protection locked="0"/>
    </xf>
    <xf numFmtId="49" fontId="55" fillId="0" borderId="15" xfId="10" applyNumberFormat="1" applyFont="1" applyFill="1" applyBorder="1" applyAlignment="1" applyProtection="1">
      <alignment vertical="center" wrapText="1"/>
      <protection locked="0"/>
    </xf>
    <xf numFmtId="49" fontId="55" fillId="10" borderId="433" xfId="10" applyNumberFormat="1" applyFont="1" applyFill="1" applyBorder="1" applyAlignment="1" applyProtection="1">
      <alignment horizontal="left" vertical="center" wrapText="1"/>
      <protection locked="0"/>
    </xf>
    <xf numFmtId="3" fontId="59" fillId="0" borderId="283" xfId="10" applyNumberFormat="1" applyFont="1" applyFill="1" applyBorder="1" applyAlignment="1" applyProtection="1">
      <alignment horizontal="right" vertical="center"/>
      <protection locked="0"/>
    </xf>
    <xf numFmtId="10" fontId="59" fillId="0" borderId="306" xfId="10" applyNumberFormat="1" applyFont="1" applyFill="1" applyBorder="1" applyAlignment="1" applyProtection="1">
      <alignment horizontal="right" vertical="center"/>
      <protection locked="0"/>
    </xf>
    <xf numFmtId="49" fontId="55" fillId="10" borderId="43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19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6" xfId="10" applyNumberFormat="1" applyFont="1" applyFill="1" applyBorder="1" applyAlignment="1" applyProtection="1">
      <alignment horizontal="right" vertical="center"/>
      <protection locked="0"/>
    </xf>
    <xf numFmtId="10" fontId="55" fillId="0" borderId="55" xfId="10" applyNumberFormat="1" applyFont="1" applyFill="1" applyBorder="1" applyAlignment="1" applyProtection="1">
      <alignment horizontal="right" vertical="center"/>
      <protection locked="0"/>
    </xf>
    <xf numFmtId="10" fontId="55" fillId="0" borderId="436" xfId="10" applyNumberFormat="1" applyFont="1" applyFill="1" applyBorder="1" applyAlignment="1" applyProtection="1">
      <alignment horizontal="right" vertical="center"/>
      <protection locked="0"/>
    </xf>
    <xf numFmtId="10" fontId="61" fillId="0" borderId="306" xfId="10" applyNumberFormat="1" applyFont="1" applyFill="1" applyBorder="1" applyAlignment="1" applyProtection="1">
      <alignment horizontal="right" vertical="center"/>
      <protection locked="0"/>
    </xf>
    <xf numFmtId="49" fontId="55" fillId="0" borderId="329" xfId="10" applyNumberFormat="1" applyFont="1" applyFill="1" applyBorder="1" applyAlignment="1" applyProtection="1">
      <alignment horizontal="center" vertical="center" wrapText="1"/>
      <protection locked="0"/>
    </xf>
    <xf numFmtId="0" fontId="23" fillId="0" borderId="433" xfId="0" applyFont="1" applyBorder="1" applyAlignment="1">
      <alignment vertical="center" wrapText="1"/>
    </xf>
    <xf numFmtId="49" fontId="55" fillId="0" borderId="437" xfId="10" applyNumberFormat="1" applyFont="1" applyFill="1" applyBorder="1" applyAlignment="1" applyProtection="1">
      <alignment horizontal="center" vertical="center" wrapText="1"/>
      <protection locked="0"/>
    </xf>
    <xf numFmtId="0" fontId="23" fillId="0" borderId="313" xfId="0" applyFont="1" applyBorder="1" applyAlignment="1">
      <alignment vertical="center" wrapText="1"/>
    </xf>
    <xf numFmtId="49" fontId="55" fillId="10" borderId="43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13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313" xfId="10" applyNumberFormat="1" applyFont="1" applyFill="1" applyBorder="1" applyAlignment="1" applyProtection="1">
      <alignment vertical="center" wrapText="1"/>
      <protection locked="0"/>
    </xf>
    <xf numFmtId="49" fontId="55" fillId="10" borderId="438" xfId="10" applyNumberFormat="1" applyFont="1" applyFill="1" applyBorder="1" applyAlignment="1" applyProtection="1">
      <alignment vertical="center" wrapText="1"/>
      <protection locked="0"/>
    </xf>
    <xf numFmtId="10" fontId="55" fillId="10" borderId="326" xfId="10" applyNumberFormat="1" applyFont="1" applyFill="1" applyBorder="1" applyAlignment="1" applyProtection="1">
      <alignment horizontal="right" vertical="center" wrapText="1"/>
      <protection locked="0"/>
    </xf>
    <xf numFmtId="49" fontId="55" fillId="10" borderId="43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40" xfId="10" applyNumberFormat="1" applyFont="1" applyFill="1" applyBorder="1" applyAlignment="1" applyProtection="1">
      <alignment horizontal="left" vertical="center" wrapText="1"/>
      <protection locked="0"/>
    </xf>
    <xf numFmtId="49" fontId="59" fillId="12" borderId="4" xfId="10" applyNumberFormat="1" applyFont="1" applyFill="1" applyBorder="1" applyAlignment="1" applyProtection="1">
      <alignment horizontal="center" vertical="center" wrapText="1"/>
      <protection locked="0"/>
    </xf>
    <xf numFmtId="49" fontId="59" fillId="12" borderId="322" xfId="10" applyNumberFormat="1" applyFont="1" applyFill="1" applyBorder="1" applyAlignment="1" applyProtection="1">
      <alignment horizontal="center" vertical="center" wrapText="1"/>
      <protection locked="0"/>
    </xf>
    <xf numFmtId="49" fontId="59" fillId="12" borderId="323" xfId="10" applyNumberFormat="1" applyFont="1" applyFill="1" applyBorder="1" applyAlignment="1" applyProtection="1">
      <alignment horizontal="left" vertical="center" wrapText="1"/>
      <protection locked="0"/>
    </xf>
    <xf numFmtId="3" fontId="59" fillId="2" borderId="4" xfId="10" applyNumberFormat="1" applyFont="1" applyFill="1" applyBorder="1" applyAlignment="1" applyProtection="1">
      <alignment horizontal="right" vertical="center"/>
      <protection locked="0"/>
    </xf>
    <xf numFmtId="10" fontId="59" fillId="2" borderId="12" xfId="10" applyNumberFormat="1" applyFont="1" applyFill="1" applyBorder="1" applyAlignment="1" applyProtection="1">
      <alignment horizontal="right" vertical="center"/>
      <protection locked="0"/>
    </xf>
    <xf numFmtId="2" fontId="55" fillId="0" borderId="11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44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42" xfId="10" applyNumberFormat="1" applyFont="1" applyFill="1" applyBorder="1" applyAlignment="1" applyProtection="1">
      <alignment horizontal="left" vertical="center" wrapText="1"/>
      <protection locked="0"/>
    </xf>
    <xf numFmtId="49" fontId="59" fillId="12" borderId="443" xfId="10" applyNumberFormat="1" applyFont="1" applyFill="1" applyBorder="1" applyAlignment="1" applyProtection="1">
      <alignment horizontal="center" vertical="center" wrapText="1"/>
      <protection locked="0"/>
    </xf>
    <xf numFmtId="49" fontId="59" fillId="12" borderId="44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445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446" xfId="10" applyNumberFormat="1" applyFont="1" applyFill="1" applyBorder="1" applyAlignment="1" applyProtection="1">
      <alignment horizontal="right" vertical="center"/>
      <protection locked="0"/>
    </xf>
    <xf numFmtId="10" fontId="55" fillId="0" borderId="447" xfId="10" applyNumberFormat="1" applyFont="1" applyFill="1" applyBorder="1" applyAlignment="1" applyProtection="1">
      <alignment horizontal="right" vertical="center"/>
      <protection locked="0"/>
    </xf>
    <xf numFmtId="49" fontId="55" fillId="10" borderId="44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49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450" xfId="10" applyNumberFormat="1" applyFont="1" applyFill="1" applyBorder="1" applyAlignment="1" applyProtection="1">
      <alignment horizontal="right" vertical="center"/>
      <protection locked="0"/>
    </xf>
    <xf numFmtId="10" fontId="55" fillId="0" borderId="451" xfId="10" applyNumberFormat="1" applyFont="1" applyFill="1" applyBorder="1" applyAlignment="1" applyProtection="1">
      <alignment horizontal="right" vertical="center"/>
      <protection locked="0"/>
    </xf>
    <xf numFmtId="49" fontId="55" fillId="10" borderId="9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0" xfId="10" applyNumberFormat="1" applyFont="1" applyFill="1" applyBorder="1" applyAlignment="1" applyProtection="1">
      <alignment horizontal="left" vertical="center" wrapText="1"/>
      <protection locked="0"/>
    </xf>
    <xf numFmtId="10" fontId="55" fillId="0" borderId="20" xfId="10" applyNumberFormat="1" applyFont="1" applyFill="1" applyBorder="1" applyAlignment="1" applyProtection="1">
      <alignment horizontal="right" vertical="center"/>
      <protection locked="0"/>
    </xf>
    <xf numFmtId="49" fontId="55" fillId="10" borderId="45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53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454" xfId="10" applyNumberFormat="1" applyFont="1" applyFill="1" applyBorder="1" applyAlignment="1" applyProtection="1">
      <alignment vertical="center" wrapText="1"/>
      <protection locked="0"/>
    </xf>
    <xf numFmtId="49" fontId="55" fillId="10" borderId="455" xfId="10" applyNumberFormat="1" applyFont="1" applyFill="1" applyBorder="1" applyAlignment="1" applyProtection="1">
      <alignment vertical="center" wrapText="1"/>
      <protection locked="0"/>
    </xf>
    <xf numFmtId="49" fontId="55" fillId="10" borderId="214" xfId="10" applyNumberFormat="1" applyFont="1" applyFill="1" applyBorder="1" applyAlignment="1" applyProtection="1">
      <alignment vertical="center" wrapText="1"/>
      <protection locked="0"/>
    </xf>
    <xf numFmtId="10" fontId="55" fillId="10" borderId="453" xfId="10" applyNumberFormat="1" applyFont="1" applyFill="1" applyBorder="1" applyAlignment="1" applyProtection="1">
      <alignment horizontal="right" vertical="center" wrapText="1"/>
      <protection locked="0"/>
    </xf>
    <xf numFmtId="3" fontId="55" fillId="10" borderId="16" xfId="10" applyNumberFormat="1" applyFont="1" applyFill="1" applyBorder="1" applyAlignment="1" applyProtection="1">
      <alignment horizontal="right" vertical="center" wrapText="1"/>
      <protection locked="0"/>
    </xf>
    <xf numFmtId="10" fontId="55" fillId="10" borderId="55" xfId="10" applyNumberFormat="1" applyFont="1" applyFill="1" applyBorder="1" applyAlignment="1" applyProtection="1">
      <alignment horizontal="right" vertical="center" wrapText="1"/>
      <protection locked="0"/>
    </xf>
    <xf numFmtId="49" fontId="55" fillId="10" borderId="45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57" xfId="10" applyNumberFormat="1" applyFont="1" applyFill="1" applyBorder="1" applyAlignment="1" applyProtection="1">
      <alignment horizontal="left" vertical="center" wrapText="1"/>
      <protection locked="0"/>
    </xf>
    <xf numFmtId="3" fontId="55" fillId="10" borderId="214" xfId="10" applyNumberFormat="1" applyFont="1" applyFill="1" applyBorder="1" applyAlignment="1" applyProtection="1">
      <alignment horizontal="right" vertical="center" wrapText="1"/>
      <protection locked="0"/>
    </xf>
    <xf numFmtId="49" fontId="55" fillId="10" borderId="458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459" xfId="10" applyNumberFormat="1" applyFont="1" applyFill="1" applyBorder="1" applyAlignment="1" applyProtection="1">
      <alignment horizontal="center" vertical="center" wrapText="1"/>
      <protection locked="0"/>
    </xf>
    <xf numFmtId="0" fontId="23" fillId="0" borderId="460" xfId="0" applyFont="1" applyBorder="1" applyAlignment="1">
      <alignment vertical="center" wrapText="1"/>
    </xf>
    <xf numFmtId="49" fontId="55" fillId="10" borderId="45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6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461" xfId="10" applyNumberFormat="1" applyFont="1" applyFill="1" applyBorder="1" applyAlignment="1" applyProtection="1">
      <alignment horizontal="center" vertical="center" wrapText="1"/>
      <protection locked="0"/>
    </xf>
    <xf numFmtId="10" fontId="55" fillId="10" borderId="328" xfId="10" applyNumberFormat="1" applyFont="1" applyFill="1" applyBorder="1" applyAlignment="1" applyProtection="1">
      <alignment horizontal="right" vertical="center" wrapText="1"/>
      <protection locked="0"/>
    </xf>
    <xf numFmtId="10" fontId="55" fillId="0" borderId="453" xfId="10" applyNumberFormat="1" applyFont="1" applyFill="1" applyBorder="1" applyAlignment="1" applyProtection="1">
      <alignment horizontal="right" vertical="center"/>
      <protection locked="0"/>
    </xf>
    <xf numFmtId="49" fontId="55" fillId="10" borderId="464" xfId="10" applyNumberFormat="1" applyFont="1" applyFill="1" applyBorder="1" applyAlignment="1" applyProtection="1">
      <alignment horizontal="center" vertical="center" wrapText="1"/>
      <protection locked="0"/>
    </xf>
    <xf numFmtId="49" fontId="60" fillId="13" borderId="465" xfId="10" applyNumberFormat="1" applyFont="1" applyFill="1" applyBorder="1" applyAlignment="1" applyProtection="1">
      <alignment horizontal="center" vertical="center" wrapText="1"/>
      <protection locked="0"/>
    </xf>
    <xf numFmtId="49" fontId="60" fillId="13" borderId="459" xfId="10" applyNumberFormat="1" applyFont="1" applyFill="1" applyBorder="1" applyAlignment="1" applyProtection="1">
      <alignment horizontal="center" vertical="center" wrapText="1"/>
      <protection locked="0"/>
    </xf>
    <xf numFmtId="49" fontId="60" fillId="13" borderId="460" xfId="10" applyNumberFormat="1" applyFont="1" applyFill="1" applyBorder="1" applyAlignment="1" applyProtection="1">
      <alignment horizontal="left" vertical="center" wrapText="1"/>
      <protection locked="0"/>
    </xf>
    <xf numFmtId="3" fontId="60" fillId="14" borderId="214" xfId="10" applyNumberFormat="1" applyFont="1" applyFill="1" applyBorder="1" applyAlignment="1" applyProtection="1">
      <alignment horizontal="right" vertical="center"/>
      <protection locked="0"/>
    </xf>
    <xf numFmtId="49" fontId="55" fillId="10" borderId="46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63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463" xfId="10" applyNumberFormat="1" applyFont="1" applyFill="1" applyBorder="1" applyAlignment="1" applyProtection="1">
      <alignment horizontal="center" vertical="center" wrapText="1"/>
      <protection locked="0"/>
    </xf>
    <xf numFmtId="3" fontId="61" fillId="0" borderId="214" xfId="10" applyNumberFormat="1" applyFont="1" applyFill="1" applyBorder="1" applyAlignment="1" applyProtection="1">
      <alignment horizontal="right" vertical="center"/>
      <protection locked="0"/>
    </xf>
    <xf numFmtId="10" fontId="61" fillId="0" borderId="453" xfId="10" applyNumberFormat="1" applyFont="1" applyFill="1" applyBorder="1" applyAlignment="1" applyProtection="1">
      <alignment horizontal="right" vertical="center"/>
      <protection locked="0"/>
    </xf>
    <xf numFmtId="49" fontId="55" fillId="10" borderId="4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6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68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4" xfId="10" applyNumberFormat="1" applyFont="1" applyFill="1" applyBorder="1" applyAlignment="1" applyProtection="1">
      <alignment vertical="center" wrapText="1"/>
      <protection locked="0"/>
    </xf>
    <xf numFmtId="49" fontId="55" fillId="10" borderId="469" xfId="10" applyNumberFormat="1" applyFont="1" applyFill="1" applyBorder="1" applyAlignment="1" applyProtection="1">
      <alignment vertical="center" wrapText="1"/>
      <protection locked="0"/>
    </xf>
    <xf numFmtId="49" fontId="55" fillId="10" borderId="16" xfId="10" applyNumberFormat="1" applyFont="1" applyFill="1" applyBorder="1" applyAlignment="1" applyProtection="1">
      <alignment vertical="center" wrapText="1"/>
      <protection locked="0"/>
    </xf>
    <xf numFmtId="49" fontId="55" fillId="0" borderId="466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463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470" xfId="10" applyNumberFormat="1" applyFont="1" applyFill="1" applyBorder="1" applyAlignment="1" applyProtection="1">
      <alignment horizontal="right" vertical="center"/>
      <protection locked="0"/>
    </xf>
    <xf numFmtId="10" fontId="55" fillId="0" borderId="471" xfId="10" applyNumberFormat="1" applyFont="1" applyFill="1" applyBorder="1" applyAlignment="1" applyProtection="1">
      <alignment horizontal="right" vertical="center"/>
      <protection locked="0"/>
    </xf>
    <xf numFmtId="49" fontId="55" fillId="10" borderId="47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73" xfId="10" applyNumberFormat="1" applyFont="1" applyFill="1" applyBorder="1" applyAlignment="1" applyProtection="1">
      <alignment horizontal="left" vertical="center" wrapText="1"/>
      <protection locked="0"/>
    </xf>
    <xf numFmtId="3" fontId="59" fillId="0" borderId="470" xfId="10" applyNumberFormat="1" applyFont="1" applyFill="1" applyBorder="1" applyAlignment="1" applyProtection="1">
      <alignment horizontal="right" vertical="center"/>
      <protection locked="0"/>
    </xf>
    <xf numFmtId="10" fontId="59" fillId="0" borderId="471" xfId="10" applyNumberFormat="1" applyFont="1" applyFill="1" applyBorder="1" applyAlignment="1" applyProtection="1">
      <alignment horizontal="right" vertical="center"/>
      <protection locked="0"/>
    </xf>
    <xf numFmtId="49" fontId="55" fillId="10" borderId="47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76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477" xfId="10" applyNumberFormat="1" applyFont="1" applyFill="1" applyBorder="1" applyAlignment="1" applyProtection="1">
      <alignment horizontal="right" vertical="center"/>
      <protection locked="0"/>
    </xf>
    <xf numFmtId="49" fontId="60" fillId="15" borderId="15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3" fontId="59" fillId="14" borderId="4" xfId="10" applyNumberFormat="1" applyFont="1" applyFill="1" applyBorder="1" applyAlignment="1" applyProtection="1">
      <alignment horizontal="right" vertical="center"/>
      <protection locked="0"/>
    </xf>
    <xf numFmtId="10" fontId="59" fillId="14" borderId="12" xfId="10" applyNumberFormat="1" applyFont="1" applyFill="1" applyBorder="1" applyAlignment="1" applyProtection="1">
      <alignment horizontal="right" vertical="center"/>
      <protection locked="0"/>
    </xf>
    <xf numFmtId="3" fontId="55" fillId="0" borderId="478" xfId="10" applyNumberFormat="1" applyFont="1" applyFill="1" applyBorder="1" applyAlignment="1" applyProtection="1">
      <alignment horizontal="right" vertical="center" wrapText="1"/>
      <protection locked="0"/>
    </xf>
    <xf numFmtId="10" fontId="55" fillId="0" borderId="479" xfId="10" applyNumberFormat="1" applyFont="1" applyFill="1" applyBorder="1" applyAlignment="1" applyProtection="1">
      <alignment horizontal="right" vertical="center" wrapText="1"/>
      <protection locked="0"/>
    </xf>
    <xf numFmtId="3" fontId="61" fillId="0" borderId="16" xfId="10" applyNumberFormat="1" applyFont="1" applyFill="1" applyBorder="1" applyAlignment="1" applyProtection="1">
      <alignment horizontal="right" vertical="center"/>
      <protection locked="0"/>
    </xf>
    <xf numFmtId="10" fontId="61" fillId="0" borderId="55" xfId="10" applyNumberFormat="1" applyFont="1" applyFill="1" applyBorder="1" applyAlignment="1" applyProtection="1">
      <alignment horizontal="right" vertical="center"/>
      <protection locked="0"/>
    </xf>
    <xf numFmtId="49" fontId="55" fillId="10" borderId="480" xfId="10" applyNumberFormat="1" applyFont="1" applyFill="1" applyBorder="1" applyAlignment="1" applyProtection="1">
      <alignment vertical="center" wrapText="1"/>
      <protection locked="0"/>
    </xf>
    <xf numFmtId="49" fontId="55" fillId="10" borderId="481" xfId="10" applyNumberFormat="1" applyFont="1" applyFill="1" applyBorder="1" applyAlignment="1" applyProtection="1">
      <alignment vertical="center" wrapText="1"/>
      <protection locked="0"/>
    </xf>
    <xf numFmtId="49" fontId="55" fillId="10" borderId="48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8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48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" xfId="10" applyNumberFormat="1" applyFont="1" applyFill="1" applyBorder="1" applyAlignment="1" applyProtection="1">
      <alignment horizontal="left" vertical="center" wrapText="1"/>
      <protection locked="0"/>
    </xf>
    <xf numFmtId="4" fontId="55" fillId="0" borderId="6" xfId="10" applyNumberFormat="1" applyFont="1" applyFill="1" applyBorder="1" applyAlignment="1" applyProtection="1">
      <alignment horizontal="left" vertical="center"/>
      <protection locked="0"/>
    </xf>
    <xf numFmtId="49" fontId="55" fillId="10" borderId="482" xfId="10" applyNumberFormat="1" applyFont="1" applyFill="1" applyBorder="1" applyAlignment="1" applyProtection="1">
      <alignment horizontal="center" vertical="center" wrapText="1"/>
      <protection locked="0"/>
    </xf>
    <xf numFmtId="0" fontId="23" fillId="0" borderId="484" xfId="0" applyFont="1" applyBorder="1" applyAlignment="1">
      <alignment horizontal="left" vertical="center" wrapText="1"/>
    </xf>
    <xf numFmtId="49" fontId="55" fillId="10" borderId="48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87" xfId="10" applyNumberFormat="1" applyFont="1" applyFill="1" applyBorder="1" applyAlignment="1" applyProtection="1">
      <alignment horizontal="left" vertical="center" wrapText="1"/>
      <protection locked="0"/>
    </xf>
    <xf numFmtId="3" fontId="59" fillId="6" borderId="8" xfId="10" applyNumberFormat="1" applyFont="1" applyFill="1" applyBorder="1" applyAlignment="1" applyProtection="1">
      <alignment horizontal="right" vertical="center"/>
      <protection locked="0"/>
    </xf>
    <xf numFmtId="10" fontId="59" fillId="6" borderId="41" xfId="10" applyNumberFormat="1" applyFont="1" applyFill="1" applyBorder="1" applyAlignment="1" applyProtection="1">
      <alignment horizontal="right" vertical="center"/>
      <protection locked="0"/>
    </xf>
    <xf numFmtId="3" fontId="55" fillId="6" borderId="136" xfId="10" applyNumberFormat="1" applyFont="1" applyFill="1" applyBorder="1" applyAlignment="1" applyProtection="1">
      <alignment horizontal="right" vertical="center"/>
      <protection locked="0"/>
    </xf>
    <xf numFmtId="10" fontId="55" fillId="6" borderId="212" xfId="10" applyNumberFormat="1" applyFont="1" applyFill="1" applyBorder="1" applyAlignment="1" applyProtection="1">
      <alignment horizontal="right" vertical="center"/>
      <protection locked="0"/>
    </xf>
    <xf numFmtId="49" fontId="55" fillId="0" borderId="488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213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114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114" xfId="10" applyNumberFormat="1" applyFont="1" applyFill="1" applyBorder="1" applyAlignment="1" applyProtection="1">
      <alignment horizontal="left" vertical="center" wrapText="1"/>
      <protection locked="0"/>
    </xf>
    <xf numFmtId="3" fontId="60" fillId="6" borderId="136" xfId="10" applyNumberFormat="1" applyFont="1" applyFill="1" applyBorder="1" applyAlignment="1" applyProtection="1">
      <alignment horizontal="right" vertical="center"/>
      <protection locked="0"/>
    </xf>
    <xf numFmtId="10" fontId="60" fillId="6" borderId="212" xfId="10" applyNumberFormat="1" applyFont="1" applyFill="1" applyBorder="1" applyAlignment="1" applyProtection="1">
      <alignment horizontal="right" vertical="center"/>
      <protection locked="0"/>
    </xf>
    <xf numFmtId="49" fontId="55" fillId="10" borderId="489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490" xfId="10" applyNumberFormat="1" applyFont="1" applyFill="1" applyBorder="1" applyAlignment="1" applyProtection="1">
      <alignment horizontal="right" vertical="center"/>
      <protection locked="0"/>
    </xf>
    <xf numFmtId="10" fontId="55" fillId="0" borderId="491" xfId="10" applyNumberFormat="1" applyFont="1" applyFill="1" applyBorder="1" applyAlignment="1" applyProtection="1">
      <alignment horizontal="right" vertical="center"/>
      <protection locked="0"/>
    </xf>
    <xf numFmtId="10" fontId="55" fillId="0" borderId="494" xfId="10" applyNumberFormat="1" applyFont="1" applyFill="1" applyBorder="1" applyAlignment="1" applyProtection="1">
      <alignment horizontal="right" vertical="center"/>
      <protection locked="0"/>
    </xf>
    <xf numFmtId="3" fontId="59" fillId="14" borderId="14" xfId="10" applyNumberFormat="1" applyFont="1" applyFill="1" applyBorder="1" applyAlignment="1" applyProtection="1">
      <alignment horizontal="right" vertical="center"/>
      <protection locked="0"/>
    </xf>
    <xf numFmtId="10" fontId="59" fillId="14" borderId="18" xfId="10" applyNumberFormat="1" applyFont="1" applyFill="1" applyBorder="1" applyAlignment="1" applyProtection="1">
      <alignment horizontal="right" vertical="center"/>
      <protection locked="0"/>
    </xf>
    <xf numFmtId="3" fontId="55" fillId="0" borderId="497" xfId="10" applyNumberFormat="1" applyFont="1" applyFill="1" applyBorder="1" applyAlignment="1" applyProtection="1">
      <alignment horizontal="right" vertical="center"/>
      <protection locked="0"/>
    </xf>
    <xf numFmtId="10" fontId="55" fillId="0" borderId="498" xfId="10" applyNumberFormat="1" applyFont="1" applyFill="1" applyBorder="1" applyAlignment="1" applyProtection="1">
      <alignment horizontal="right" vertical="center"/>
      <protection locked="0"/>
    </xf>
    <xf numFmtId="49" fontId="55" fillId="10" borderId="49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0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502" xfId="10" applyNumberFormat="1" applyFont="1" applyFill="1" applyBorder="1" applyAlignment="1" applyProtection="1">
      <alignment horizontal="right" vertical="center"/>
      <protection locked="0"/>
    </xf>
    <xf numFmtId="10" fontId="55" fillId="0" borderId="503" xfId="10" applyNumberFormat="1" applyFont="1" applyFill="1" applyBorder="1" applyAlignment="1" applyProtection="1">
      <alignment horizontal="right" vertical="center"/>
      <protection locked="0"/>
    </xf>
    <xf numFmtId="3" fontId="61" fillId="0" borderId="502" xfId="10" applyNumberFormat="1" applyFont="1" applyFill="1" applyBorder="1" applyAlignment="1" applyProtection="1">
      <alignment horizontal="right" vertical="center"/>
      <protection locked="0"/>
    </xf>
    <xf numFmtId="10" fontId="61" fillId="0" borderId="503" xfId="10" applyNumberFormat="1" applyFont="1" applyFill="1" applyBorder="1" applyAlignment="1" applyProtection="1">
      <alignment horizontal="right" vertical="center"/>
      <protection locked="0"/>
    </xf>
    <xf numFmtId="49" fontId="55" fillId="10" borderId="50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05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0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01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501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07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0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09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510" xfId="10" applyNumberFormat="1" applyFont="1" applyFill="1" applyBorder="1" applyAlignment="1" applyProtection="1">
      <alignment horizontal="right" vertical="center"/>
      <protection locked="0"/>
    </xf>
    <xf numFmtId="10" fontId="55" fillId="0" borderId="511" xfId="10" applyNumberFormat="1" applyFont="1" applyFill="1" applyBorder="1" applyAlignment="1" applyProtection="1">
      <alignment horizontal="right" vertical="center"/>
      <protection locked="0"/>
    </xf>
    <xf numFmtId="49" fontId="55" fillId="10" borderId="512" xfId="10" applyNumberFormat="1" applyFont="1" applyFill="1" applyBorder="1" applyAlignment="1" applyProtection="1">
      <alignment horizontal="center" vertical="center" wrapText="1"/>
      <protection locked="0"/>
    </xf>
    <xf numFmtId="3" fontId="59" fillId="0" borderId="502" xfId="10" applyNumberFormat="1" applyFont="1" applyFill="1" applyBorder="1" applyAlignment="1" applyProtection="1">
      <alignment horizontal="right" vertical="center"/>
      <protection locked="0"/>
    </xf>
    <xf numFmtId="10" fontId="59" fillId="0" borderId="509" xfId="10" applyNumberFormat="1" applyFont="1" applyFill="1" applyBorder="1" applyAlignment="1" applyProtection="1">
      <alignment horizontal="right" vertical="center"/>
      <protection locked="0"/>
    </xf>
    <xf numFmtId="10" fontId="55" fillId="0" borderId="509" xfId="10" applyNumberFormat="1" applyFont="1" applyFill="1" applyBorder="1" applyAlignment="1" applyProtection="1">
      <alignment horizontal="right" vertical="center"/>
      <protection locked="0"/>
    </xf>
    <xf numFmtId="49" fontId="55" fillId="10" borderId="51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15" xfId="10" applyNumberFormat="1" applyFont="1" applyFill="1" applyBorder="1" applyAlignment="1" applyProtection="1">
      <alignment horizontal="left" vertical="center" wrapText="1"/>
      <protection locked="0"/>
    </xf>
    <xf numFmtId="10" fontId="61" fillId="0" borderId="509" xfId="10" applyNumberFormat="1" applyFont="1" applyFill="1" applyBorder="1" applyAlignment="1" applyProtection="1">
      <alignment horizontal="right" vertical="center"/>
      <protection locked="0"/>
    </xf>
    <xf numFmtId="49" fontId="55" fillId="10" borderId="51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18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1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16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1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19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5" xfId="10" applyNumberFormat="1" applyFont="1" applyFill="1" applyBorder="1" applyAlignment="1" applyProtection="1">
      <alignment horizontal="right" vertical="center"/>
      <protection locked="0"/>
    </xf>
    <xf numFmtId="49" fontId="55" fillId="10" borderId="52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23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509" xfId="10" applyNumberFormat="1" applyFont="1" applyFill="1" applyBorder="1" applyAlignment="1" applyProtection="1">
      <alignment horizontal="right" vertical="center"/>
      <protection locked="0"/>
    </xf>
    <xf numFmtId="3" fontId="55" fillId="0" borderId="528" xfId="10" applyNumberFormat="1" applyFont="1" applyFill="1" applyBorder="1" applyAlignment="1" applyProtection="1">
      <alignment horizontal="right" vertical="center"/>
      <protection locked="0"/>
    </xf>
    <xf numFmtId="10" fontId="55" fillId="0" borderId="529" xfId="10" applyNumberFormat="1" applyFont="1" applyFill="1" applyBorder="1" applyAlignment="1" applyProtection="1">
      <alignment horizontal="right" vertical="center"/>
      <protection locked="0"/>
    </xf>
    <xf numFmtId="49" fontId="55" fillId="10" borderId="53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31" xfId="10" applyNumberFormat="1" applyFont="1" applyFill="1" applyBorder="1" applyAlignment="1" applyProtection="1">
      <alignment horizontal="left" vertical="center" wrapText="1"/>
      <protection locked="0"/>
    </xf>
    <xf numFmtId="3" fontId="59" fillId="6" borderId="16" xfId="10" applyNumberFormat="1" applyFont="1" applyFill="1" applyBorder="1" applyAlignment="1" applyProtection="1">
      <alignment horizontal="right" vertical="center"/>
      <protection locked="0"/>
    </xf>
    <xf numFmtId="10" fontId="59" fillId="6" borderId="55" xfId="10" applyNumberFormat="1" applyFont="1" applyFill="1" applyBorder="1" applyAlignment="1" applyProtection="1">
      <alignment horizontal="right" vertical="center"/>
      <protection locked="0"/>
    </xf>
    <xf numFmtId="3" fontId="55" fillId="6" borderId="502" xfId="10" applyNumberFormat="1" applyFont="1" applyFill="1" applyBorder="1" applyAlignment="1" applyProtection="1">
      <alignment horizontal="right" vertical="center"/>
      <protection locked="0"/>
    </xf>
    <xf numFmtId="10" fontId="55" fillId="6" borderId="509" xfId="10" applyNumberFormat="1" applyFont="1" applyFill="1" applyBorder="1" applyAlignment="1" applyProtection="1">
      <alignment horizontal="right" vertical="center"/>
      <protection locked="0"/>
    </xf>
    <xf numFmtId="49" fontId="55" fillId="10" borderId="53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3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3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32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3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39" xfId="10" applyNumberFormat="1" applyFont="1" applyFill="1" applyBorder="1" applyAlignment="1" applyProtection="1">
      <alignment horizontal="left" vertical="center" wrapText="1"/>
      <protection locked="0"/>
    </xf>
    <xf numFmtId="3" fontId="55" fillId="6" borderId="510" xfId="10" applyNumberFormat="1" applyFont="1" applyFill="1" applyBorder="1" applyAlignment="1" applyProtection="1">
      <alignment horizontal="right" vertical="center"/>
      <protection locked="0"/>
    </xf>
    <xf numFmtId="10" fontId="55" fillId="6" borderId="511" xfId="10" applyNumberFormat="1" applyFont="1" applyFill="1" applyBorder="1" applyAlignment="1" applyProtection="1">
      <alignment horizontal="right" vertical="center"/>
      <protection locked="0"/>
    </xf>
    <xf numFmtId="49" fontId="55" fillId="10" borderId="540" xfId="10" applyNumberFormat="1" applyFont="1" applyFill="1" applyBorder="1" applyAlignment="1" applyProtection="1">
      <alignment horizontal="center" vertical="center" wrapText="1"/>
      <protection locked="0"/>
    </xf>
    <xf numFmtId="49" fontId="55" fillId="15" borderId="539" xfId="10" applyNumberFormat="1" applyFont="1" applyFill="1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>
      <alignment horizontal="center" vertical="center" wrapText="1"/>
    </xf>
    <xf numFmtId="49" fontId="55" fillId="10" borderId="541" xfId="10" applyNumberFormat="1" applyFont="1" applyFill="1" applyBorder="1" applyAlignment="1" applyProtection="1">
      <alignment horizontal="center" vertical="center" wrapText="1"/>
      <protection locked="0"/>
    </xf>
    <xf numFmtId="49" fontId="23" fillId="15" borderId="542" xfId="10" applyNumberFormat="1" applyFont="1" applyFill="1" applyBorder="1" applyAlignment="1" applyProtection="1">
      <alignment horizontal="center" vertical="center" wrapText="1"/>
      <protection locked="0"/>
    </xf>
    <xf numFmtId="49" fontId="23" fillId="15" borderId="54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44" xfId="10" applyNumberFormat="1" applyFont="1" applyFill="1" applyBorder="1" applyAlignment="1" applyProtection="1">
      <alignment horizontal="center" vertical="center" wrapText="1"/>
      <protection locked="0"/>
    </xf>
    <xf numFmtId="49" fontId="55" fillId="15" borderId="509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0" xfId="10" applyNumberFormat="1" applyFont="1" applyFill="1" applyBorder="1" applyAlignment="1" applyProtection="1">
      <alignment horizontal="center" vertical="center" wrapText="1"/>
      <protection locked="0"/>
    </xf>
    <xf numFmtId="49" fontId="55" fillId="15" borderId="0" xfId="10" applyNumberFormat="1" applyFont="1" applyFill="1" applyBorder="1" applyAlignment="1" applyProtection="1">
      <alignment horizontal="left" vertical="center" wrapText="1"/>
      <protection locked="0"/>
    </xf>
    <xf numFmtId="3" fontId="59" fillId="6" borderId="510" xfId="10" applyNumberFormat="1" applyFont="1" applyFill="1" applyBorder="1" applyAlignment="1" applyProtection="1">
      <alignment horizontal="right" vertical="center"/>
      <protection locked="0"/>
    </xf>
    <xf numFmtId="10" fontId="59" fillId="6" borderId="511" xfId="10" applyNumberFormat="1" applyFont="1" applyFill="1" applyBorder="1" applyAlignment="1" applyProtection="1">
      <alignment horizontal="right" vertical="center"/>
      <protection locked="0"/>
    </xf>
    <xf numFmtId="49" fontId="55" fillId="10" borderId="545" xfId="10" applyNumberFormat="1" applyFont="1" applyFill="1" applyBorder="1" applyAlignment="1" applyProtection="1">
      <alignment horizontal="left" vertical="center" wrapText="1"/>
      <protection locked="0"/>
    </xf>
    <xf numFmtId="3" fontId="55" fillId="6" borderId="7" xfId="10" applyNumberFormat="1" applyFont="1" applyFill="1" applyBorder="1" applyAlignment="1" applyProtection="1">
      <alignment horizontal="right" vertical="center"/>
      <protection locked="0"/>
    </xf>
    <xf numFmtId="10" fontId="55" fillId="6" borderId="546" xfId="10" applyNumberFormat="1" applyFont="1" applyFill="1" applyBorder="1" applyAlignment="1" applyProtection="1">
      <alignment horizontal="right" vertical="center"/>
      <protection locked="0"/>
    </xf>
    <xf numFmtId="3" fontId="55" fillId="0" borderId="116" xfId="10" applyNumberFormat="1" applyFont="1" applyFill="1" applyBorder="1" applyAlignment="1" applyProtection="1">
      <alignment horizontal="right" vertical="center"/>
      <protection locked="0"/>
    </xf>
    <xf numFmtId="49" fontId="55" fillId="0" borderId="532" xfId="10" applyNumberFormat="1" applyFont="1" applyFill="1" applyBorder="1" applyAlignment="1" applyProtection="1">
      <alignment horizontal="left" vertical="center" wrapText="1"/>
      <protection locked="0"/>
    </xf>
    <xf numFmtId="3" fontId="61" fillId="0" borderId="116" xfId="10" applyNumberFormat="1" applyFont="1" applyFill="1" applyBorder="1" applyAlignment="1" applyProtection="1">
      <alignment horizontal="right" vertical="center"/>
      <protection locked="0"/>
    </xf>
    <xf numFmtId="49" fontId="55" fillId="10" borderId="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4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69" xfId="10" applyNumberFormat="1" applyFont="1" applyFill="1" applyBorder="1" applyAlignment="1" applyProtection="1">
      <alignment horizontal="left" vertical="center" wrapText="1"/>
      <protection locked="0"/>
    </xf>
    <xf numFmtId="3" fontId="59" fillId="0" borderId="510" xfId="10" applyNumberFormat="1" applyFont="1" applyFill="1" applyBorder="1" applyAlignment="1" applyProtection="1">
      <alignment horizontal="right" vertical="center"/>
      <protection locked="0"/>
    </xf>
    <xf numFmtId="10" fontId="59" fillId="0" borderId="511" xfId="10" applyNumberFormat="1" applyFont="1" applyFill="1" applyBorder="1" applyAlignment="1" applyProtection="1">
      <alignment horizontal="right" vertical="center"/>
      <protection locked="0"/>
    </xf>
    <xf numFmtId="10" fontId="55" fillId="0" borderId="548" xfId="10" applyNumberFormat="1" applyFont="1" applyFill="1" applyBorder="1" applyAlignment="1" applyProtection="1">
      <alignment horizontal="right" vertical="center"/>
      <protection locked="0"/>
    </xf>
    <xf numFmtId="0" fontId="61" fillId="0" borderId="0" xfId="10" applyNumberFormat="1" applyFont="1" applyFill="1" applyBorder="1" applyAlignment="1" applyProtection="1">
      <alignment horizontal="left" vertical="center"/>
      <protection locked="0"/>
    </xf>
    <xf numFmtId="49" fontId="55" fillId="10" borderId="543" xfId="10" applyNumberFormat="1" applyFont="1" applyFill="1" applyBorder="1" applyAlignment="1" applyProtection="1">
      <alignment horizontal="center" vertical="center" wrapText="1"/>
      <protection locked="0"/>
    </xf>
    <xf numFmtId="49" fontId="61" fillId="10" borderId="53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551" xfId="10" applyNumberFormat="1" applyFont="1" applyFill="1" applyBorder="1" applyAlignment="1" applyProtection="1">
      <alignment horizontal="right" vertical="center"/>
      <protection locked="0"/>
    </xf>
    <xf numFmtId="10" fontId="55" fillId="0" borderId="550" xfId="10" applyNumberFormat="1" applyFont="1" applyFill="1" applyBorder="1" applyAlignment="1" applyProtection="1">
      <alignment horizontal="right" vertical="center"/>
      <protection locked="0"/>
    </xf>
    <xf numFmtId="3" fontId="59" fillId="0" borderId="553" xfId="10" applyNumberFormat="1" applyFont="1" applyFill="1" applyBorder="1" applyAlignment="1" applyProtection="1">
      <alignment horizontal="right" vertical="center"/>
      <protection locked="0"/>
    </xf>
    <xf numFmtId="10" fontId="59" fillId="0" borderId="554" xfId="10" applyNumberFormat="1" applyFont="1" applyFill="1" applyBorder="1" applyAlignment="1" applyProtection="1">
      <alignment horizontal="right" vertical="center"/>
      <protection locked="0"/>
    </xf>
    <xf numFmtId="49" fontId="55" fillId="10" borderId="55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5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58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559" xfId="10" applyNumberFormat="1" applyFont="1" applyFill="1" applyBorder="1" applyAlignment="1" applyProtection="1">
      <alignment horizontal="right" vertical="center"/>
      <protection locked="0"/>
    </xf>
    <xf numFmtId="10" fontId="55" fillId="0" borderId="560" xfId="10" applyNumberFormat="1" applyFont="1" applyFill="1" applyBorder="1" applyAlignment="1" applyProtection="1">
      <alignment horizontal="right" vertical="center"/>
      <protection locked="0"/>
    </xf>
    <xf numFmtId="2" fontId="55" fillId="0" borderId="561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562" xfId="10" applyNumberFormat="1" applyFont="1" applyFill="1" applyBorder="1" applyAlignment="1" applyProtection="1">
      <alignment horizontal="right" vertical="center"/>
      <protection locked="0"/>
    </xf>
    <xf numFmtId="10" fontId="55" fillId="0" borderId="525" xfId="10" applyNumberFormat="1" applyFont="1" applyFill="1" applyBorder="1" applyAlignment="1" applyProtection="1">
      <alignment horizontal="right" vertical="center"/>
      <protection locked="0"/>
    </xf>
    <xf numFmtId="49" fontId="55" fillId="10" borderId="563" xfId="10" applyNumberFormat="1" applyFont="1" applyFill="1" applyBorder="1" applyAlignment="1" applyProtection="1">
      <alignment horizontal="center" vertical="center" wrapText="1"/>
      <protection locked="0"/>
    </xf>
    <xf numFmtId="2" fontId="55" fillId="0" borderId="286" xfId="10" applyNumberFormat="1" applyFont="1" applyFill="1" applyBorder="1" applyAlignment="1" applyProtection="1">
      <alignment horizontal="left" vertical="center" wrapText="1"/>
      <protection locked="0"/>
    </xf>
    <xf numFmtId="2" fontId="55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64" xfId="10" applyNumberFormat="1" applyFont="1" applyFill="1" applyBorder="1" applyAlignment="1" applyProtection="1">
      <alignment horizontal="center" vertical="center" wrapText="1"/>
      <protection locked="0"/>
    </xf>
    <xf numFmtId="2" fontId="55" fillId="0" borderId="565" xfId="10" applyNumberFormat="1" applyFont="1" applyFill="1" applyBorder="1" applyAlignment="1" applyProtection="1">
      <alignment horizontal="left" vertical="center" wrapText="1"/>
      <protection locked="0"/>
    </xf>
    <xf numFmtId="10" fontId="55" fillId="0" borderId="546" xfId="10" applyNumberFormat="1" applyFont="1" applyFill="1" applyBorder="1" applyAlignment="1" applyProtection="1">
      <alignment horizontal="right" vertical="center"/>
      <protection locked="0"/>
    </xf>
    <xf numFmtId="49" fontId="60" fillId="13" borderId="443" xfId="10" applyNumberFormat="1" applyFont="1" applyFill="1" applyBorder="1" applyAlignment="1" applyProtection="1">
      <alignment horizontal="center" vertical="center" wrapText="1"/>
      <protection locked="0"/>
    </xf>
    <xf numFmtId="3" fontId="55" fillId="0" borderId="567" xfId="10" applyNumberFormat="1" applyFont="1" applyFill="1" applyBorder="1" applyAlignment="1" applyProtection="1">
      <alignment horizontal="right" vertical="center"/>
      <protection locked="0"/>
    </xf>
    <xf numFmtId="10" fontId="55" fillId="0" borderId="568" xfId="10" applyNumberFormat="1" applyFont="1" applyFill="1" applyBorder="1" applyAlignment="1" applyProtection="1">
      <alignment horizontal="right" vertical="center"/>
      <protection locked="0"/>
    </xf>
    <xf numFmtId="3" fontId="61" fillId="0" borderId="567" xfId="10" applyNumberFormat="1" applyFont="1" applyFill="1" applyBorder="1" applyAlignment="1" applyProtection="1">
      <alignment horizontal="right" vertical="center"/>
      <protection locked="0"/>
    </xf>
    <xf numFmtId="10" fontId="61" fillId="0" borderId="568" xfId="10" applyNumberFormat="1" applyFont="1" applyFill="1" applyBorder="1" applyAlignment="1" applyProtection="1">
      <alignment horizontal="right" vertical="center"/>
      <protection locked="0"/>
    </xf>
    <xf numFmtId="49" fontId="55" fillId="10" borderId="56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7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1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6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66" xfId="10" applyNumberFormat="1" applyFont="1" applyFill="1" applyBorder="1" applyAlignment="1" applyProtection="1">
      <alignment horizontal="left" vertical="center" wrapText="1"/>
      <protection locked="0"/>
    </xf>
    <xf numFmtId="3" fontId="59" fillId="0" borderId="567" xfId="10" applyNumberFormat="1" applyFont="1" applyFill="1" applyBorder="1" applyAlignment="1" applyProtection="1">
      <alignment horizontal="right" vertical="center"/>
      <protection locked="0"/>
    </xf>
    <xf numFmtId="10" fontId="59" fillId="0" borderId="568" xfId="10" applyNumberFormat="1" applyFont="1" applyFill="1" applyBorder="1" applyAlignment="1" applyProtection="1">
      <alignment horizontal="right" vertical="center"/>
      <protection locked="0"/>
    </xf>
    <xf numFmtId="49" fontId="55" fillId="10" borderId="571" xfId="10" applyNumberFormat="1" applyFont="1" applyFill="1" applyBorder="1" applyAlignment="1" applyProtection="1">
      <alignment horizontal="center" vertical="center" wrapText="1"/>
      <protection locked="0"/>
    </xf>
    <xf numFmtId="3" fontId="61" fillId="0" borderId="559" xfId="10" applyNumberFormat="1" applyFont="1" applyFill="1" applyBorder="1" applyAlignment="1" applyProtection="1">
      <alignment horizontal="right" vertical="center"/>
      <protection locked="0"/>
    </xf>
    <xf numFmtId="10" fontId="61" fillId="0" borderId="560" xfId="10" applyNumberFormat="1" applyFont="1" applyFill="1" applyBorder="1" applyAlignment="1" applyProtection="1">
      <alignment horizontal="right" vertical="center"/>
      <protection locked="0"/>
    </xf>
    <xf numFmtId="3" fontId="55" fillId="0" borderId="553" xfId="10" applyNumberFormat="1" applyFont="1" applyFill="1" applyBorder="1" applyAlignment="1" applyProtection="1">
      <alignment horizontal="right" vertical="center"/>
      <protection locked="0"/>
    </xf>
    <xf numFmtId="10" fontId="55" fillId="0" borderId="554" xfId="10" applyNumberFormat="1" applyFont="1" applyFill="1" applyBorder="1" applyAlignment="1" applyProtection="1">
      <alignment horizontal="right" vertical="center"/>
      <protection locked="0"/>
    </xf>
    <xf numFmtId="49" fontId="59" fillId="15" borderId="6" xfId="10" applyNumberFormat="1" applyFont="1" applyFill="1" applyBorder="1" applyAlignment="1" applyProtection="1">
      <alignment horizontal="center" vertical="center" wrapText="1"/>
      <protection locked="0"/>
    </xf>
    <xf numFmtId="49" fontId="59" fillId="0" borderId="17" xfId="10" applyNumberFormat="1" applyFont="1" applyFill="1" applyBorder="1" applyAlignment="1" applyProtection="1">
      <alignment horizontal="center" vertical="center" wrapText="1"/>
      <protection locked="0"/>
    </xf>
    <xf numFmtId="3" fontId="59" fillId="6" borderId="17" xfId="10" applyNumberFormat="1" applyFont="1" applyFill="1" applyBorder="1" applyAlignment="1" applyProtection="1">
      <alignment horizontal="right" vertical="center"/>
      <protection locked="0"/>
    </xf>
    <xf numFmtId="10" fontId="59" fillId="6" borderId="10" xfId="10" applyNumberFormat="1" applyFont="1" applyFill="1" applyBorder="1" applyAlignment="1" applyProtection="1">
      <alignment horizontal="right" vertical="center"/>
      <protection locked="0"/>
    </xf>
    <xf numFmtId="49" fontId="59" fillId="0" borderId="15" xfId="10" applyNumberFormat="1" applyFont="1" applyFill="1" applyBorder="1" applyAlignment="1" applyProtection="1">
      <alignment horizontal="center" vertical="center" wrapText="1"/>
      <protection locked="0"/>
    </xf>
    <xf numFmtId="3" fontId="55" fillId="6" borderId="572" xfId="10" applyNumberFormat="1" applyFont="1" applyFill="1" applyBorder="1" applyAlignment="1" applyProtection="1">
      <alignment horizontal="right" vertical="center"/>
      <protection locked="0"/>
    </xf>
    <xf numFmtId="10" fontId="55" fillId="6" borderId="573" xfId="10" applyNumberFormat="1" applyFont="1" applyFill="1" applyBorder="1" applyAlignment="1" applyProtection="1">
      <alignment horizontal="right" vertical="center"/>
      <protection locked="0"/>
    </xf>
    <xf numFmtId="49" fontId="59" fillId="0" borderId="14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564" xfId="10" applyNumberFormat="1" applyFont="1" applyFill="1" applyBorder="1" applyAlignment="1" applyProtection="1">
      <alignment horizontal="center" vertical="center" wrapText="1"/>
      <protection locked="0"/>
    </xf>
    <xf numFmtId="10" fontId="55" fillId="6" borderId="574" xfId="10" applyNumberFormat="1" applyFont="1" applyFill="1" applyBorder="1" applyAlignment="1" applyProtection="1">
      <alignment horizontal="right" vertical="center"/>
      <protection locked="0"/>
    </xf>
    <xf numFmtId="49" fontId="55" fillId="15" borderId="6" xfId="10" applyNumberFormat="1" applyFont="1" applyFill="1" applyBorder="1" applyAlignment="1" applyProtection="1">
      <alignment horizontal="center" vertical="center" wrapText="1"/>
      <protection locked="0"/>
    </xf>
    <xf numFmtId="3" fontId="55" fillId="0" borderId="576" xfId="10" applyNumberFormat="1" applyFont="1" applyFill="1" applyBorder="1" applyAlignment="1" applyProtection="1">
      <alignment horizontal="right" vertical="center"/>
      <protection locked="0"/>
    </xf>
    <xf numFmtId="10" fontId="55" fillId="0" borderId="577" xfId="10" applyNumberFormat="1" applyFont="1" applyFill="1" applyBorder="1" applyAlignment="1" applyProtection="1">
      <alignment horizontal="right" vertical="center"/>
      <protection locked="0"/>
    </xf>
    <xf numFmtId="49" fontId="55" fillId="0" borderId="578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575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79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58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8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8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82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8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84" xfId="10" applyNumberFormat="1" applyFont="1" applyFill="1" applyBorder="1" applyAlignment="1" applyProtection="1">
      <alignment horizontal="left" vertical="center" wrapText="1"/>
      <protection locked="0"/>
    </xf>
    <xf numFmtId="3" fontId="59" fillId="0" borderId="576" xfId="10" applyNumberFormat="1" applyFont="1" applyFill="1" applyBorder="1" applyAlignment="1" applyProtection="1">
      <alignment vertical="center"/>
      <protection locked="0"/>
    </xf>
    <xf numFmtId="10" fontId="59" fillId="0" borderId="577" xfId="10" applyNumberFormat="1" applyFont="1" applyFill="1" applyBorder="1" applyAlignment="1" applyProtection="1">
      <alignment horizontal="right" vertical="center"/>
      <protection locked="0"/>
    </xf>
    <xf numFmtId="3" fontId="55" fillId="0" borderId="576" xfId="10" applyNumberFormat="1" applyFont="1" applyFill="1" applyBorder="1" applyAlignment="1" applyProtection="1">
      <alignment vertical="center"/>
      <protection locked="0"/>
    </xf>
    <xf numFmtId="49" fontId="55" fillId="15" borderId="589" xfId="10" applyNumberFormat="1" applyFont="1" applyFill="1" applyBorder="1" applyAlignment="1" applyProtection="1">
      <alignment horizontal="center" vertical="center" wrapText="1"/>
      <protection locked="0"/>
    </xf>
    <xf numFmtId="49" fontId="55" fillId="15" borderId="590" xfId="10" applyNumberFormat="1" applyFont="1" applyFill="1" applyBorder="1" applyAlignment="1" applyProtection="1">
      <alignment horizontal="left" vertical="center" wrapText="1"/>
      <protection locked="0"/>
    </xf>
    <xf numFmtId="49" fontId="55" fillId="15" borderId="0" xfId="10" applyNumberFormat="1" applyFont="1" applyFill="1" applyBorder="1" applyAlignment="1" applyProtection="1">
      <alignment horizontal="center" vertical="center" wrapText="1"/>
      <protection locked="0"/>
    </xf>
    <xf numFmtId="3" fontId="55" fillId="0" borderId="15" xfId="10" applyNumberFormat="1" applyFont="1" applyFill="1" applyBorder="1" applyAlignment="1" applyProtection="1">
      <alignment vertical="center"/>
      <protection locked="0"/>
    </xf>
    <xf numFmtId="3" fontId="61" fillId="0" borderId="576" xfId="10" applyNumberFormat="1" applyFont="1" applyFill="1" applyBorder="1" applyAlignment="1" applyProtection="1">
      <alignment horizontal="right" vertical="center"/>
      <protection locked="0"/>
    </xf>
    <xf numFmtId="10" fontId="61" fillId="0" borderId="577" xfId="10" applyNumberFormat="1" applyFont="1" applyFill="1" applyBorder="1" applyAlignment="1" applyProtection="1">
      <alignment horizontal="right" vertical="center"/>
      <protection locked="0"/>
    </xf>
    <xf numFmtId="49" fontId="55" fillId="10" borderId="3" xfId="10" applyNumberFormat="1" applyFont="1" applyFill="1" applyBorder="1" applyAlignment="1" applyProtection="1">
      <alignment vertical="center" wrapText="1"/>
      <protection locked="0"/>
    </xf>
    <xf numFmtId="3" fontId="55" fillId="0" borderId="591" xfId="10" applyNumberFormat="1" applyFont="1" applyFill="1" applyBorder="1" applyAlignment="1" applyProtection="1">
      <alignment horizontal="right" vertical="center"/>
      <protection locked="0"/>
    </xf>
    <xf numFmtId="10" fontId="55" fillId="0" borderId="592" xfId="10" applyNumberFormat="1" applyFont="1" applyFill="1" applyBorder="1" applyAlignment="1" applyProtection="1">
      <alignment horizontal="right" vertical="center"/>
      <protection locked="0"/>
    </xf>
    <xf numFmtId="49" fontId="55" fillId="15" borderId="581" xfId="10" applyNumberFormat="1" applyFont="1" applyFill="1" applyBorder="1" applyAlignment="1" applyProtection="1">
      <alignment horizontal="center" vertical="center" wrapText="1"/>
      <protection locked="0"/>
    </xf>
    <xf numFmtId="49" fontId="55" fillId="15" borderId="58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591" xfId="10" applyNumberFormat="1" applyFont="1" applyFill="1" applyBorder="1" applyAlignment="1" applyProtection="1">
      <alignment vertical="center"/>
      <protection locked="0"/>
    </xf>
    <xf numFmtId="49" fontId="55" fillId="10" borderId="58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88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593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595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58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8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90" xfId="10" applyNumberFormat="1" applyFont="1" applyFill="1" applyBorder="1" applyAlignment="1" applyProtection="1">
      <alignment horizontal="left" vertical="center" wrapText="1"/>
      <protection locked="0"/>
    </xf>
    <xf numFmtId="3" fontId="59" fillId="0" borderId="576" xfId="10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10" fontId="0" fillId="0" borderId="55" xfId="0" applyNumberFormat="1" applyBorder="1" applyAlignment="1">
      <alignment horizontal="right" vertical="center"/>
    </xf>
    <xf numFmtId="49" fontId="55" fillId="10" borderId="575" xfId="10" applyNumberFormat="1" applyFont="1" applyFill="1" applyBorder="1" applyAlignment="1" applyProtection="1">
      <alignment horizontal="center" vertical="center" wrapText="1"/>
      <protection locked="0"/>
    </xf>
    <xf numFmtId="0" fontId="23" fillId="0" borderId="579" xfId="0" applyFont="1" applyBorder="1" applyAlignment="1">
      <alignment horizontal="left" vertical="center" wrapText="1"/>
    </xf>
    <xf numFmtId="10" fontId="55" fillId="0" borderId="596" xfId="10" applyNumberFormat="1" applyFont="1" applyFill="1" applyBorder="1" applyAlignment="1" applyProtection="1">
      <alignment horizontal="right" vertical="center"/>
      <protection locked="0"/>
    </xf>
    <xf numFmtId="3" fontId="55" fillId="0" borderId="598" xfId="10" applyNumberFormat="1" applyFont="1" applyFill="1" applyBorder="1" applyAlignment="1" applyProtection="1">
      <alignment horizontal="right" vertical="center"/>
      <protection locked="0"/>
    </xf>
    <xf numFmtId="10" fontId="55" fillId="0" borderId="599" xfId="10" applyNumberFormat="1" applyFont="1" applyFill="1" applyBorder="1" applyAlignment="1" applyProtection="1">
      <alignment horizontal="right" vertical="center"/>
      <protection locked="0"/>
    </xf>
    <xf numFmtId="3" fontId="61" fillId="0" borderId="598" xfId="10" applyNumberFormat="1" applyFont="1" applyFill="1" applyBorder="1" applyAlignment="1" applyProtection="1">
      <alignment horizontal="right" vertical="center"/>
      <protection locked="0"/>
    </xf>
    <xf numFmtId="10" fontId="61" fillId="0" borderId="599" xfId="10" applyNumberFormat="1" applyFont="1" applyFill="1" applyBorder="1" applyAlignment="1" applyProtection="1">
      <alignment horizontal="right" vertical="center"/>
      <protection locked="0"/>
    </xf>
    <xf numFmtId="49" fontId="55" fillId="10" borderId="60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01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75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7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03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60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05" xfId="10" applyNumberFormat="1" applyFont="1" applyFill="1" applyBorder="1" applyAlignment="1" applyProtection="1">
      <alignment horizontal="center" vertical="center" wrapText="1"/>
      <protection locked="0"/>
    </xf>
    <xf numFmtId="3" fontId="55" fillId="0" borderId="567" xfId="10" applyNumberFormat="1" applyFont="1" applyFill="1" applyBorder="1" applyAlignment="1" applyProtection="1">
      <alignment vertical="center"/>
      <protection locked="0"/>
    </xf>
    <xf numFmtId="49" fontId="55" fillId="10" borderId="606" xfId="10" applyNumberFormat="1" applyFont="1" applyFill="1" applyBorder="1" applyAlignment="1" applyProtection="1">
      <alignment horizontal="center" vertical="center" wrapText="1"/>
      <protection locked="0"/>
    </xf>
    <xf numFmtId="3" fontId="55" fillId="0" borderId="607" xfId="10" applyNumberFormat="1" applyFont="1" applyFill="1" applyBorder="1" applyAlignment="1" applyProtection="1">
      <alignment vertical="center"/>
      <protection locked="0"/>
    </xf>
    <xf numFmtId="10" fontId="55" fillId="0" borderId="608" xfId="10" applyNumberFormat="1" applyFont="1" applyFill="1" applyBorder="1" applyAlignment="1" applyProtection="1">
      <alignment horizontal="right" vertical="center"/>
      <protection locked="0"/>
    </xf>
    <xf numFmtId="49" fontId="55" fillId="10" borderId="609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610" xfId="10" applyNumberFormat="1" applyFont="1" applyFill="1" applyBorder="1" applyAlignment="1" applyProtection="1">
      <alignment vertical="center"/>
      <protection locked="0"/>
    </xf>
    <xf numFmtId="10" fontId="55" fillId="0" borderId="611" xfId="10" applyNumberFormat="1" applyFont="1" applyFill="1" applyBorder="1" applyAlignment="1" applyProtection="1">
      <alignment horizontal="right" vertical="center"/>
      <protection locked="0"/>
    </xf>
    <xf numFmtId="49" fontId="55" fillId="10" borderId="61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613" xfId="10" applyNumberFormat="1" applyFont="1" applyFill="1" applyBorder="1" applyAlignment="1" applyProtection="1">
      <alignment vertical="center"/>
      <protection locked="0"/>
    </xf>
    <xf numFmtId="10" fontId="55" fillId="0" borderId="614" xfId="10" applyNumberFormat="1" applyFont="1" applyFill="1" applyBorder="1" applyAlignment="1" applyProtection="1">
      <alignment horizontal="right" vertical="center"/>
      <protection locked="0"/>
    </xf>
    <xf numFmtId="49" fontId="55" fillId="10" borderId="615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616" xfId="10" applyNumberFormat="1" applyFont="1" applyFill="1" applyBorder="1" applyAlignment="1" applyProtection="1">
      <alignment vertical="center"/>
      <protection locked="0"/>
    </xf>
    <xf numFmtId="10" fontId="55" fillId="0" borderId="617" xfId="10" applyNumberFormat="1" applyFont="1" applyFill="1" applyBorder="1" applyAlignment="1" applyProtection="1">
      <alignment horizontal="right" vertical="center"/>
      <protection locked="0"/>
    </xf>
    <xf numFmtId="49" fontId="55" fillId="10" borderId="618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619" xfId="10" applyNumberFormat="1" applyFont="1" applyFill="1" applyBorder="1" applyAlignment="1" applyProtection="1">
      <alignment vertical="center"/>
      <protection locked="0"/>
    </xf>
    <xf numFmtId="10" fontId="55" fillId="0" borderId="620" xfId="10" applyNumberFormat="1" applyFont="1" applyFill="1" applyBorder="1" applyAlignment="1" applyProtection="1">
      <alignment horizontal="right" vertical="center"/>
      <protection locked="0"/>
    </xf>
    <xf numFmtId="49" fontId="55" fillId="10" borderId="621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621" xfId="10" applyNumberFormat="1" applyFont="1" applyFill="1" applyBorder="1" applyAlignment="1" applyProtection="1">
      <alignment vertical="center" wrapText="1"/>
      <protection locked="0"/>
    </xf>
    <xf numFmtId="49" fontId="55" fillId="10" borderId="619" xfId="10" applyNumberFormat="1" applyFont="1" applyFill="1" applyBorder="1" applyAlignment="1" applyProtection="1">
      <alignment vertical="center" wrapText="1"/>
      <protection locked="0"/>
    </xf>
    <xf numFmtId="10" fontId="55" fillId="10" borderId="620" xfId="10" applyNumberFormat="1" applyFont="1" applyFill="1" applyBorder="1" applyAlignment="1" applyProtection="1">
      <alignment horizontal="right" vertical="center" wrapText="1"/>
      <protection locked="0"/>
    </xf>
    <xf numFmtId="3" fontId="59" fillId="0" borderId="623" xfId="10" applyNumberFormat="1" applyFont="1" applyFill="1" applyBorder="1" applyAlignment="1" applyProtection="1">
      <alignment vertical="center"/>
      <protection locked="0"/>
    </xf>
    <xf numFmtId="10" fontId="59" fillId="0" borderId="624" xfId="10" applyNumberFormat="1" applyFont="1" applyFill="1" applyBorder="1" applyAlignment="1" applyProtection="1">
      <alignment horizontal="right" vertical="center"/>
      <protection locked="0"/>
    </xf>
    <xf numFmtId="3" fontId="55" fillId="0" borderId="623" xfId="10" applyNumberFormat="1" applyFont="1" applyFill="1" applyBorder="1" applyAlignment="1" applyProtection="1">
      <alignment vertical="center"/>
      <protection locked="0"/>
    </xf>
    <xf numFmtId="10" fontId="55" fillId="0" borderId="624" xfId="10" applyNumberFormat="1" applyFont="1" applyFill="1" applyBorder="1" applyAlignment="1" applyProtection="1">
      <alignment horizontal="right" vertical="center"/>
      <protection locked="0"/>
    </xf>
    <xf numFmtId="49" fontId="55" fillId="10" borderId="62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27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628" xfId="10" applyNumberFormat="1" applyFont="1" applyFill="1" applyBorder="1" applyAlignment="1" applyProtection="1">
      <alignment vertical="center"/>
      <protection locked="0"/>
    </xf>
    <xf numFmtId="10" fontId="55" fillId="0" borderId="629" xfId="10" applyNumberFormat="1" applyFont="1" applyFill="1" applyBorder="1" applyAlignment="1" applyProtection="1">
      <alignment horizontal="right" vertical="center"/>
      <protection locked="0"/>
    </xf>
    <xf numFmtId="49" fontId="55" fillId="10" borderId="63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31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632" xfId="10" applyNumberFormat="1" applyFont="1" applyFill="1" applyBorder="1" applyAlignment="1" applyProtection="1">
      <alignment vertical="center"/>
      <protection locked="0"/>
    </xf>
    <xf numFmtId="10" fontId="55" fillId="0" borderId="633" xfId="10" applyNumberFormat="1" applyFont="1" applyFill="1" applyBorder="1" applyAlignment="1" applyProtection="1">
      <alignment horizontal="right" vertical="center"/>
      <protection locked="0"/>
    </xf>
    <xf numFmtId="49" fontId="55" fillId="10" borderId="63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35" xfId="10" applyNumberFormat="1" applyFont="1" applyFill="1" applyBorder="1" applyAlignment="1" applyProtection="1">
      <alignment horizontal="left" vertical="center" wrapText="1"/>
      <protection locked="0"/>
    </xf>
    <xf numFmtId="3" fontId="61" fillId="0" borderId="632" xfId="10" applyNumberFormat="1" applyFont="1" applyFill="1" applyBorder="1" applyAlignment="1" applyProtection="1">
      <alignment horizontal="right" vertical="center"/>
      <protection locked="0"/>
    </xf>
    <xf numFmtId="10" fontId="61" fillId="0" borderId="633" xfId="10" applyNumberFormat="1" applyFont="1" applyFill="1" applyBorder="1" applyAlignment="1" applyProtection="1">
      <alignment horizontal="right" vertical="center"/>
      <protection locked="0"/>
    </xf>
    <xf numFmtId="49" fontId="55" fillId="10" borderId="63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38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639" xfId="10" applyNumberFormat="1" applyFont="1" applyFill="1" applyBorder="1" applyAlignment="1" applyProtection="1">
      <alignment horizontal="right" vertical="center"/>
      <protection locked="0"/>
    </xf>
    <xf numFmtId="10" fontId="55" fillId="0" borderId="640" xfId="10" applyNumberFormat="1" applyFont="1" applyFill="1" applyBorder="1" applyAlignment="1" applyProtection="1">
      <alignment horizontal="right" vertical="center"/>
      <protection locked="0"/>
    </xf>
    <xf numFmtId="3" fontId="55" fillId="0" borderId="639" xfId="10" applyNumberFormat="1" applyFont="1" applyFill="1" applyBorder="1" applyAlignment="1" applyProtection="1">
      <alignment vertical="center"/>
      <protection locked="0"/>
    </xf>
    <xf numFmtId="49" fontId="55" fillId="10" borderId="64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4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7" xfId="10" applyNumberFormat="1" applyFont="1" applyFill="1" applyBorder="1" applyAlignment="1" applyProtection="1">
      <alignment vertical="center"/>
      <protection locked="0"/>
    </xf>
    <xf numFmtId="10" fontId="55" fillId="0" borderId="643" xfId="10" applyNumberFormat="1" applyFont="1" applyFill="1" applyBorder="1" applyAlignment="1" applyProtection="1">
      <alignment horizontal="right" vertical="center"/>
      <protection locked="0"/>
    </xf>
    <xf numFmtId="3" fontId="59" fillId="16" borderId="4" xfId="10" applyNumberFormat="1" applyFont="1" applyFill="1" applyBorder="1" applyAlignment="1" applyProtection="1">
      <alignment vertical="center"/>
      <protection locked="0"/>
    </xf>
    <xf numFmtId="10" fontId="59" fillId="16" borderId="12" xfId="10" applyNumberFormat="1" applyFont="1" applyFill="1" applyBorder="1" applyAlignment="1" applyProtection="1">
      <alignment horizontal="right" vertical="center"/>
      <protection locked="0"/>
    </xf>
    <xf numFmtId="49" fontId="55" fillId="0" borderId="636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644" xfId="10" applyNumberFormat="1" applyFont="1" applyFill="1" applyBorder="1" applyAlignment="1" applyProtection="1">
      <alignment vertical="center"/>
      <protection locked="0"/>
    </xf>
    <xf numFmtId="10" fontId="55" fillId="0" borderId="645" xfId="10" applyNumberFormat="1" applyFont="1" applyFill="1" applyBorder="1" applyAlignment="1" applyProtection="1">
      <alignment horizontal="right" vertical="center"/>
      <protection locked="0"/>
    </xf>
    <xf numFmtId="3" fontId="55" fillId="0" borderId="647" xfId="10" applyNumberFormat="1" applyFont="1" applyFill="1" applyBorder="1" applyAlignment="1" applyProtection="1">
      <alignment vertical="center"/>
      <protection locked="0"/>
    </xf>
    <xf numFmtId="10" fontId="55" fillId="0" borderId="648" xfId="10" applyNumberFormat="1" applyFont="1" applyFill="1" applyBorder="1" applyAlignment="1" applyProtection="1">
      <alignment horizontal="right" vertical="center"/>
      <protection locked="0"/>
    </xf>
    <xf numFmtId="49" fontId="55" fillId="10" borderId="64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5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65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52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65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54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655" xfId="10" applyNumberFormat="1" applyFont="1" applyFill="1" applyBorder="1" applyAlignment="1" applyProtection="1">
      <alignment vertical="center"/>
      <protection locked="0"/>
    </xf>
    <xf numFmtId="10" fontId="55" fillId="0" borderId="656" xfId="10" applyNumberFormat="1" applyFont="1" applyFill="1" applyBorder="1" applyAlignment="1" applyProtection="1">
      <alignment horizontal="right" vertical="center"/>
      <protection locked="0"/>
    </xf>
    <xf numFmtId="3" fontId="55" fillId="0" borderId="658" xfId="10" applyNumberFormat="1" applyFont="1" applyFill="1" applyBorder="1" applyAlignment="1" applyProtection="1">
      <alignment vertical="center"/>
      <protection locked="0"/>
    </xf>
    <xf numFmtId="10" fontId="55" fillId="0" borderId="659" xfId="10" applyNumberFormat="1" applyFont="1" applyFill="1" applyBorder="1" applyAlignment="1" applyProtection="1">
      <alignment horizontal="right" vertical="center"/>
      <protection locked="0"/>
    </xf>
    <xf numFmtId="49" fontId="55" fillId="10" borderId="66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61" xfId="10" applyNumberFormat="1" applyFont="1" applyFill="1" applyBorder="1" applyAlignment="1" applyProtection="1">
      <alignment horizontal="left" vertical="center" wrapText="1"/>
      <protection locked="0"/>
    </xf>
    <xf numFmtId="10" fontId="55" fillId="0" borderId="662" xfId="10" applyNumberFormat="1" applyFont="1" applyFill="1" applyBorder="1" applyAlignment="1" applyProtection="1">
      <alignment horizontal="right" vertical="center"/>
      <protection locked="0"/>
    </xf>
    <xf numFmtId="3" fontId="60" fillId="14" borderId="4" xfId="10" applyNumberFormat="1" applyFont="1" applyFill="1" applyBorder="1" applyAlignment="1" applyProtection="1">
      <alignment vertical="center"/>
      <protection locked="0"/>
    </xf>
    <xf numFmtId="3" fontId="59" fillId="0" borderId="8" xfId="10" applyNumberFormat="1" applyFont="1" applyFill="1" applyBorder="1" applyAlignment="1" applyProtection="1">
      <alignment vertical="center"/>
      <protection locked="0"/>
    </xf>
    <xf numFmtId="10" fontId="59" fillId="0" borderId="41" xfId="10" applyNumberFormat="1" applyFont="1" applyFill="1" applyBorder="1" applyAlignment="1" applyProtection="1">
      <alignment horizontal="right" vertical="center"/>
      <protection locked="0"/>
    </xf>
    <xf numFmtId="3" fontId="55" fillId="0" borderId="664" xfId="10" applyNumberFormat="1" applyFont="1" applyFill="1" applyBorder="1" applyAlignment="1" applyProtection="1">
      <alignment vertical="center"/>
      <protection locked="0"/>
    </xf>
    <xf numFmtId="10" fontId="55" fillId="0" borderId="665" xfId="10" applyNumberFormat="1" applyFont="1" applyFill="1" applyBorder="1" applyAlignment="1" applyProtection="1">
      <alignment horizontal="right" vertical="center"/>
      <protection locked="0"/>
    </xf>
    <xf numFmtId="3" fontId="61" fillId="0" borderId="667" xfId="10" applyNumberFormat="1" applyFont="1" applyFill="1" applyBorder="1" applyAlignment="1" applyProtection="1">
      <alignment horizontal="right" vertical="center"/>
      <protection locked="0"/>
    </xf>
    <xf numFmtId="10" fontId="61" fillId="0" borderId="668" xfId="10" applyNumberFormat="1" applyFont="1" applyFill="1" applyBorder="1" applyAlignment="1" applyProtection="1">
      <alignment horizontal="right" vertical="center"/>
      <protection locked="0"/>
    </xf>
    <xf numFmtId="49" fontId="55" fillId="10" borderId="669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667" xfId="10" applyNumberFormat="1" applyFont="1" applyFill="1" applyBorder="1" applyAlignment="1" applyProtection="1">
      <alignment horizontal="right" vertical="center"/>
      <protection locked="0"/>
    </xf>
    <xf numFmtId="10" fontId="55" fillId="0" borderId="668" xfId="10" applyNumberFormat="1" applyFont="1" applyFill="1" applyBorder="1" applyAlignment="1" applyProtection="1">
      <alignment horizontal="right" vertical="center"/>
      <protection locked="0"/>
    </xf>
    <xf numFmtId="49" fontId="55" fillId="10" borderId="670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671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667" xfId="10" applyNumberFormat="1" applyFont="1" applyFill="1" applyBorder="1" applyAlignment="1" applyProtection="1">
      <alignment vertical="center"/>
      <protection locked="0"/>
    </xf>
    <xf numFmtId="3" fontId="61" fillId="0" borderId="667" xfId="10" applyNumberFormat="1" applyFont="1" applyFill="1" applyBorder="1" applyAlignment="1" applyProtection="1">
      <alignment vertical="center"/>
      <protection locked="0"/>
    </xf>
    <xf numFmtId="49" fontId="55" fillId="10" borderId="67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73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674" xfId="10" applyNumberFormat="1" applyFont="1" applyFill="1" applyBorder="1" applyAlignment="1" applyProtection="1">
      <alignment vertical="center"/>
      <protection locked="0"/>
    </xf>
    <xf numFmtId="10" fontId="55" fillId="0" borderId="675" xfId="10" applyNumberFormat="1" applyFont="1" applyFill="1" applyBorder="1" applyAlignment="1" applyProtection="1">
      <alignment horizontal="right" vertical="center"/>
      <protection locked="0"/>
    </xf>
    <xf numFmtId="49" fontId="55" fillId="10" borderId="67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77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6" xfId="10" applyNumberFormat="1" applyFont="1" applyFill="1" applyBorder="1" applyAlignment="1" applyProtection="1">
      <alignment vertical="center"/>
      <protection locked="0"/>
    </xf>
    <xf numFmtId="49" fontId="55" fillId="10" borderId="668" xfId="10" applyNumberFormat="1" applyFont="1" applyFill="1" applyBorder="1" applyAlignment="1" applyProtection="1">
      <alignment horizontal="left" vertical="center" wrapText="1"/>
      <protection locked="0"/>
    </xf>
    <xf numFmtId="49" fontId="60" fillId="14" borderId="4" xfId="10" applyNumberFormat="1" applyFont="1" applyFill="1" applyBorder="1" applyAlignment="1" applyProtection="1">
      <alignment horizontal="center" vertical="center" wrapText="1"/>
      <protection locked="0"/>
    </xf>
    <xf numFmtId="49" fontId="60" fillId="14" borderId="322" xfId="10" applyNumberFormat="1" applyFont="1" applyFill="1" applyBorder="1" applyAlignment="1" applyProtection="1">
      <alignment horizontal="center" vertical="center" wrapText="1"/>
      <protection locked="0"/>
    </xf>
    <xf numFmtId="49" fontId="60" fillId="14" borderId="323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655" xfId="10" applyNumberFormat="1" applyFont="1" applyFill="1" applyBorder="1" applyAlignment="1" applyProtection="1">
      <alignment horizontal="right" vertical="center"/>
      <protection locked="0"/>
    </xf>
    <xf numFmtId="3" fontId="61" fillId="0" borderId="655" xfId="10" applyNumberFormat="1" applyFont="1" applyFill="1" applyBorder="1" applyAlignment="1" applyProtection="1">
      <alignment horizontal="right" vertical="center"/>
      <protection locked="0"/>
    </xf>
    <xf numFmtId="10" fontId="61" fillId="0" borderId="656" xfId="10" applyNumberFormat="1" applyFont="1" applyFill="1" applyBorder="1" applyAlignment="1" applyProtection="1">
      <alignment horizontal="right" vertical="center"/>
      <protection locked="0"/>
    </xf>
    <xf numFmtId="0" fontId="55" fillId="0" borderId="679" xfId="10" applyNumberFormat="1" applyFont="1" applyFill="1" applyBorder="1" applyAlignment="1" applyProtection="1">
      <alignment horizontal="center" vertical="center"/>
      <protection locked="0"/>
    </xf>
    <xf numFmtId="0" fontId="55" fillId="0" borderId="663" xfId="10" applyNumberFormat="1" applyFont="1" applyFill="1" applyBorder="1" applyAlignment="1" applyProtection="1">
      <alignment horizontal="left" vertical="center"/>
      <protection locked="0"/>
    </xf>
    <xf numFmtId="49" fontId="55" fillId="10" borderId="68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81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682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663" xfId="10" applyNumberFormat="1" applyFont="1" applyFill="1" applyBorder="1" applyAlignment="1" applyProtection="1">
      <alignment vertical="center" wrapText="1"/>
      <protection locked="0"/>
    </xf>
    <xf numFmtId="49" fontId="55" fillId="10" borderId="683" xfId="10" applyNumberFormat="1" applyFont="1" applyFill="1" applyBorder="1" applyAlignment="1" applyProtection="1">
      <alignment vertical="center" wrapText="1"/>
      <protection locked="0"/>
    </xf>
    <xf numFmtId="10" fontId="55" fillId="10" borderId="684" xfId="10" applyNumberFormat="1" applyFont="1" applyFill="1" applyBorder="1" applyAlignment="1" applyProtection="1">
      <alignment horizontal="right" vertical="center" wrapText="1"/>
      <protection locked="0"/>
    </xf>
    <xf numFmtId="3" fontId="55" fillId="0" borderId="683" xfId="10" applyNumberFormat="1" applyFont="1" applyFill="1" applyBorder="1" applyAlignment="1" applyProtection="1">
      <alignment horizontal="right" vertical="center"/>
      <protection locked="0"/>
    </xf>
    <xf numFmtId="10" fontId="55" fillId="0" borderId="684" xfId="10" applyNumberFormat="1" applyFont="1" applyFill="1" applyBorder="1" applyAlignment="1" applyProtection="1">
      <alignment horizontal="right" vertical="center"/>
      <protection locked="0"/>
    </xf>
    <xf numFmtId="49" fontId="55" fillId="0" borderId="538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68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87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68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8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8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9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69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9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693" xfId="10" applyNumberFormat="1" applyFont="1" applyFill="1" applyBorder="1" applyAlignment="1" applyProtection="1">
      <alignment horizontal="right" vertical="center"/>
      <protection locked="0"/>
    </xf>
    <xf numFmtId="10" fontId="55" fillId="0" borderId="694" xfId="10" applyNumberFormat="1" applyFont="1" applyFill="1" applyBorder="1" applyAlignment="1" applyProtection="1">
      <alignment horizontal="right" vertical="center"/>
      <protection locked="0"/>
    </xf>
    <xf numFmtId="49" fontId="55" fillId="10" borderId="69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96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697" xfId="10" applyNumberFormat="1" applyFont="1" applyFill="1" applyBorder="1" applyAlignment="1" applyProtection="1">
      <alignment horizontal="right" vertical="center"/>
      <protection locked="0"/>
    </xf>
    <xf numFmtId="10" fontId="55" fillId="0" borderId="698" xfId="10" applyNumberFormat="1" applyFont="1" applyFill="1" applyBorder="1" applyAlignment="1" applyProtection="1">
      <alignment horizontal="right" vertical="center"/>
      <protection locked="0"/>
    </xf>
    <xf numFmtId="3" fontId="59" fillId="0" borderId="16" xfId="10" applyNumberFormat="1" applyFont="1" applyFill="1" applyBorder="1" applyAlignment="1" applyProtection="1">
      <alignment vertical="center"/>
      <protection locked="0"/>
    </xf>
    <xf numFmtId="3" fontId="55" fillId="0" borderId="700" xfId="10" applyNumberFormat="1" applyFont="1" applyFill="1" applyBorder="1" applyAlignment="1" applyProtection="1">
      <alignment vertical="center"/>
      <protection locked="0"/>
    </xf>
    <xf numFmtId="10" fontId="55" fillId="0" borderId="701" xfId="10" applyNumberFormat="1" applyFont="1" applyFill="1" applyBorder="1" applyAlignment="1" applyProtection="1">
      <alignment horizontal="right" vertical="center"/>
      <protection locked="0"/>
    </xf>
    <xf numFmtId="49" fontId="55" fillId="10" borderId="70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03" xfId="10" applyNumberFormat="1" applyFont="1" applyFill="1" applyBorder="1" applyAlignment="1" applyProtection="1">
      <alignment horizontal="left" vertical="center" wrapText="1"/>
      <protection locked="0"/>
    </xf>
    <xf numFmtId="2" fontId="55" fillId="0" borderId="70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705" xfId="10" applyNumberFormat="1" applyFont="1" applyFill="1" applyBorder="1" applyAlignment="1" applyProtection="1">
      <alignment horizontal="center" vertical="center" wrapText="1"/>
      <protection locked="0"/>
    </xf>
    <xf numFmtId="3" fontId="55" fillId="0" borderId="706" xfId="10" applyNumberFormat="1" applyFont="1" applyFill="1" applyBorder="1" applyAlignment="1" applyProtection="1">
      <alignment vertical="center"/>
      <protection locked="0"/>
    </xf>
    <xf numFmtId="10" fontId="55" fillId="0" borderId="707" xfId="10" applyNumberFormat="1" applyFont="1" applyFill="1" applyBorder="1" applyAlignment="1" applyProtection="1">
      <alignment horizontal="right" vertical="center"/>
      <protection locked="0"/>
    </xf>
    <xf numFmtId="49" fontId="55" fillId="10" borderId="71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11" xfId="10" applyNumberFormat="1" applyFont="1" applyFill="1" applyBorder="1" applyAlignment="1" applyProtection="1">
      <alignment horizontal="left" vertical="center" wrapText="1"/>
      <protection locked="0"/>
    </xf>
    <xf numFmtId="3" fontId="61" fillId="0" borderId="706" xfId="10" applyNumberFormat="1" applyFont="1" applyFill="1" applyBorder="1" applyAlignment="1" applyProtection="1">
      <alignment horizontal="right" vertical="center"/>
      <protection locked="0"/>
    </xf>
    <xf numFmtId="10" fontId="61" fillId="0" borderId="707" xfId="10" applyNumberFormat="1" applyFont="1" applyFill="1" applyBorder="1" applyAlignment="1" applyProtection="1">
      <alignment horizontal="right" vertical="center"/>
      <protection locked="0"/>
    </xf>
    <xf numFmtId="49" fontId="55" fillId="10" borderId="71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13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714" xfId="10" applyNumberFormat="1" applyFont="1" applyFill="1" applyBorder="1" applyAlignment="1" applyProtection="1">
      <alignment vertical="center"/>
      <protection locked="0"/>
    </xf>
    <xf numFmtId="10" fontId="55" fillId="0" borderId="715" xfId="10" applyNumberFormat="1" applyFont="1" applyFill="1" applyBorder="1" applyAlignment="1" applyProtection="1">
      <alignment horizontal="right" vertical="center"/>
      <protection locked="0"/>
    </xf>
    <xf numFmtId="49" fontId="55" fillId="10" borderId="716" xfId="10" applyNumberFormat="1" applyFont="1" applyFill="1" applyBorder="1" applyAlignment="1" applyProtection="1">
      <alignment horizontal="center" vertical="center" wrapText="1"/>
      <protection locked="0"/>
    </xf>
    <xf numFmtId="3" fontId="59" fillId="0" borderId="15" xfId="10" applyNumberFormat="1" applyFont="1" applyFill="1" applyBorder="1" applyAlignment="1" applyProtection="1">
      <alignment vertical="center"/>
      <protection locked="0"/>
    </xf>
    <xf numFmtId="10" fontId="55" fillId="0" borderId="717" xfId="10" applyNumberFormat="1" applyFont="1" applyFill="1" applyBorder="1" applyAlignment="1" applyProtection="1">
      <alignment horizontal="right" vertical="center"/>
      <protection locked="0"/>
    </xf>
    <xf numFmtId="3" fontId="55" fillId="0" borderId="719" xfId="10" applyNumberFormat="1" applyFont="1" applyFill="1" applyBorder="1" applyAlignment="1" applyProtection="1">
      <alignment vertical="center"/>
      <protection locked="0"/>
    </xf>
    <xf numFmtId="10" fontId="55" fillId="0" borderId="720" xfId="10" applyNumberFormat="1" applyFont="1" applyFill="1" applyBorder="1" applyAlignment="1" applyProtection="1">
      <alignment horizontal="right" vertical="center"/>
      <protection locked="0"/>
    </xf>
    <xf numFmtId="49" fontId="55" fillId="10" borderId="72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2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723" xfId="10" applyNumberFormat="1" applyFont="1" applyFill="1" applyBorder="1" applyAlignment="1" applyProtection="1">
      <alignment vertical="center"/>
      <protection locked="0"/>
    </xf>
    <xf numFmtId="10" fontId="55" fillId="0" borderId="724" xfId="10" applyNumberFormat="1" applyFont="1" applyFill="1" applyBorder="1" applyAlignment="1" applyProtection="1">
      <alignment horizontal="right" vertical="center"/>
      <protection locked="0"/>
    </xf>
    <xf numFmtId="49" fontId="55" fillId="10" borderId="72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26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4" xfId="10" applyNumberFormat="1" applyFont="1" applyFill="1" applyBorder="1" applyAlignment="1" applyProtection="1">
      <alignment vertical="center"/>
      <protection locked="0"/>
    </xf>
    <xf numFmtId="3" fontId="55" fillId="0" borderId="728" xfId="10" applyNumberFormat="1" applyFont="1" applyFill="1" applyBorder="1" applyAlignment="1" applyProtection="1">
      <alignment horizontal="right" vertical="center"/>
      <protection locked="0"/>
    </xf>
    <xf numFmtId="10" fontId="55" fillId="0" borderId="729" xfId="10" applyNumberFormat="1" applyFont="1" applyFill="1" applyBorder="1" applyAlignment="1" applyProtection="1">
      <alignment horizontal="right" vertical="center"/>
      <protection locked="0"/>
    </xf>
    <xf numFmtId="49" fontId="55" fillId="10" borderId="73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31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732" xfId="10" applyNumberFormat="1" applyFont="1" applyFill="1" applyBorder="1" applyAlignment="1" applyProtection="1">
      <alignment horizontal="right" vertical="center"/>
      <protection locked="0"/>
    </xf>
    <xf numFmtId="10" fontId="55" fillId="0" borderId="733" xfId="10" applyNumberFormat="1" applyFont="1" applyFill="1" applyBorder="1" applyAlignment="1" applyProtection="1">
      <alignment horizontal="right" vertical="center"/>
      <protection locked="0"/>
    </xf>
    <xf numFmtId="3" fontId="59" fillId="0" borderId="734" xfId="10" applyNumberFormat="1" applyFont="1" applyFill="1" applyBorder="1" applyAlignment="1" applyProtection="1">
      <alignment horizontal="right" vertical="center"/>
      <protection locked="0"/>
    </xf>
    <xf numFmtId="3" fontId="55" fillId="0" borderId="737" xfId="10" applyNumberFormat="1" applyFont="1" applyFill="1" applyBorder="1" applyAlignment="1" applyProtection="1">
      <alignment horizontal="right" vertical="center"/>
      <protection locked="0"/>
    </xf>
    <xf numFmtId="49" fontId="55" fillId="10" borderId="73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38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739" xfId="10" applyNumberFormat="1" applyFont="1" applyFill="1" applyBorder="1" applyAlignment="1" applyProtection="1">
      <alignment horizontal="right" vertical="center"/>
      <protection locked="0"/>
    </xf>
    <xf numFmtId="10" fontId="55" fillId="0" borderId="709" xfId="10" applyNumberFormat="1" applyFont="1" applyFill="1" applyBorder="1" applyAlignment="1" applyProtection="1">
      <alignment horizontal="right" vertical="center"/>
      <protection locked="0"/>
    </xf>
    <xf numFmtId="3" fontId="59" fillId="0" borderId="740" xfId="10" applyNumberFormat="1" applyFont="1" applyFill="1" applyBorder="1" applyAlignment="1" applyProtection="1">
      <alignment horizontal="right" vertical="center"/>
      <protection locked="0"/>
    </xf>
    <xf numFmtId="3" fontId="59" fillId="0" borderId="741" xfId="10" applyNumberFormat="1" applyFont="1" applyFill="1" applyBorder="1" applyAlignment="1" applyProtection="1">
      <alignment horizontal="right" vertical="center"/>
      <protection locked="0"/>
    </xf>
    <xf numFmtId="10" fontId="59" fillId="0" borderId="742" xfId="10" applyNumberFormat="1" applyFont="1" applyFill="1" applyBorder="1" applyAlignment="1" applyProtection="1">
      <alignment horizontal="right" vertical="center"/>
      <protection locked="0"/>
    </xf>
    <xf numFmtId="3" fontId="55" fillId="0" borderId="743" xfId="10" applyNumberFormat="1" applyFont="1" applyFill="1" applyBorder="1" applyAlignment="1" applyProtection="1">
      <alignment horizontal="right" vertical="center"/>
      <protection locked="0"/>
    </xf>
    <xf numFmtId="3" fontId="55" fillId="0" borderId="744" xfId="10" applyNumberFormat="1" applyFont="1" applyFill="1" applyBorder="1" applyAlignment="1" applyProtection="1">
      <alignment horizontal="right" vertical="center"/>
      <protection locked="0"/>
    </xf>
    <xf numFmtId="10" fontId="55" fillId="0" borderId="745" xfId="10" applyNumberFormat="1" applyFont="1" applyFill="1" applyBorder="1" applyAlignment="1" applyProtection="1">
      <alignment horizontal="right" vertical="center"/>
      <protection locked="0"/>
    </xf>
    <xf numFmtId="49" fontId="55" fillId="10" borderId="74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47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748" xfId="10" applyNumberFormat="1" applyFont="1" applyFill="1" applyBorder="1" applyAlignment="1" applyProtection="1">
      <alignment horizontal="right" vertical="center"/>
      <protection locked="0"/>
    </xf>
    <xf numFmtId="3" fontId="55" fillId="0" borderId="749" xfId="10" applyNumberFormat="1" applyFont="1" applyFill="1" applyBorder="1" applyAlignment="1" applyProtection="1">
      <alignment horizontal="right" vertical="center"/>
      <protection locked="0"/>
    </xf>
    <xf numFmtId="10" fontId="55" fillId="0" borderId="750" xfId="10" applyNumberFormat="1" applyFont="1" applyFill="1" applyBorder="1" applyAlignment="1" applyProtection="1">
      <alignment horizontal="right" vertical="center"/>
      <protection locked="0"/>
    </xf>
    <xf numFmtId="3" fontId="60" fillId="14" borderId="751" xfId="10" applyNumberFormat="1" applyFont="1" applyFill="1" applyBorder="1" applyAlignment="1" applyProtection="1">
      <alignment horizontal="right" vertical="center"/>
      <protection locked="0"/>
    </xf>
    <xf numFmtId="3" fontId="60" fillId="14" borderId="752" xfId="10" applyNumberFormat="1" applyFont="1" applyFill="1" applyBorder="1" applyAlignment="1" applyProtection="1">
      <alignment horizontal="right" vertical="center"/>
      <protection locked="0"/>
    </xf>
    <xf numFmtId="10" fontId="60" fillId="14" borderId="753" xfId="10" applyNumberFormat="1" applyFont="1" applyFill="1" applyBorder="1" applyAlignment="1" applyProtection="1">
      <alignment horizontal="right" vertical="center"/>
      <protection locked="0"/>
    </xf>
    <xf numFmtId="3" fontId="59" fillId="0" borderId="754" xfId="10" applyNumberFormat="1" applyFont="1" applyFill="1" applyBorder="1" applyAlignment="1" applyProtection="1">
      <alignment horizontal="right" vertical="center"/>
      <protection locked="0"/>
    </xf>
    <xf numFmtId="3" fontId="59" fillId="0" borderId="755" xfId="10" applyNumberFormat="1" applyFont="1" applyFill="1" applyBorder="1" applyAlignment="1" applyProtection="1">
      <alignment horizontal="right" vertical="center"/>
      <protection locked="0"/>
    </xf>
    <xf numFmtId="10" fontId="59" fillId="0" borderId="756" xfId="10" applyNumberFormat="1" applyFont="1" applyFill="1" applyBorder="1" applyAlignment="1" applyProtection="1">
      <alignment horizontal="right" vertical="center"/>
      <protection locked="0"/>
    </xf>
    <xf numFmtId="3" fontId="55" fillId="0" borderId="757" xfId="10" applyNumberFormat="1" applyFont="1" applyFill="1" applyBorder="1" applyAlignment="1" applyProtection="1">
      <alignment horizontal="right" vertical="center"/>
      <protection locked="0"/>
    </xf>
    <xf numFmtId="3" fontId="55" fillId="0" borderId="758" xfId="10" applyNumberFormat="1" applyFont="1" applyFill="1" applyBorder="1" applyAlignment="1" applyProtection="1">
      <alignment horizontal="right" vertical="center"/>
      <protection locked="0"/>
    </xf>
    <xf numFmtId="10" fontId="55" fillId="0" borderId="759" xfId="10" applyNumberFormat="1" applyFont="1" applyFill="1" applyBorder="1" applyAlignment="1" applyProtection="1">
      <alignment horizontal="right" vertical="center"/>
      <protection locked="0"/>
    </xf>
    <xf numFmtId="3" fontId="55" fillId="0" borderId="760" xfId="10" applyNumberFormat="1" applyFont="1" applyFill="1" applyBorder="1" applyAlignment="1" applyProtection="1">
      <alignment horizontal="right" vertical="center"/>
      <protection locked="0"/>
    </xf>
    <xf numFmtId="3" fontId="55" fillId="0" borderId="761" xfId="10" applyNumberFormat="1" applyFont="1" applyFill="1" applyBorder="1" applyAlignment="1" applyProtection="1">
      <alignment horizontal="right" vertical="center"/>
      <protection locked="0"/>
    </xf>
    <xf numFmtId="10" fontId="55" fillId="0" borderId="762" xfId="10" applyNumberFormat="1" applyFont="1" applyFill="1" applyBorder="1" applyAlignment="1" applyProtection="1">
      <alignment horizontal="right" vertical="center"/>
      <protection locked="0"/>
    </xf>
    <xf numFmtId="3" fontId="59" fillId="0" borderId="763" xfId="10" applyNumberFormat="1" applyFont="1" applyFill="1" applyBorder="1" applyAlignment="1" applyProtection="1">
      <alignment horizontal="right" vertical="center"/>
      <protection locked="0"/>
    </xf>
    <xf numFmtId="3" fontId="59" fillId="0" borderId="764" xfId="10" applyNumberFormat="1" applyFont="1" applyFill="1" applyBorder="1" applyAlignment="1" applyProtection="1">
      <alignment horizontal="right" vertical="center"/>
      <protection locked="0"/>
    </xf>
    <xf numFmtId="10" fontId="59" fillId="0" borderId="765" xfId="10" applyNumberFormat="1" applyFont="1" applyFill="1" applyBorder="1" applyAlignment="1" applyProtection="1">
      <alignment horizontal="right" vertical="center"/>
      <protection locked="0"/>
    </xf>
    <xf numFmtId="49" fontId="55" fillId="10" borderId="76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67" xfId="10" applyNumberFormat="1" applyFont="1" applyFill="1" applyBorder="1" applyAlignment="1" applyProtection="1">
      <alignment horizontal="left" vertical="center" wrapText="1"/>
      <protection locked="0"/>
    </xf>
    <xf numFmtId="3" fontId="59" fillId="0" borderId="757" xfId="10" applyNumberFormat="1" applyFont="1" applyFill="1" applyBorder="1" applyAlignment="1" applyProtection="1">
      <alignment horizontal="right" vertical="center"/>
      <protection locked="0"/>
    </xf>
    <xf numFmtId="3" fontId="59" fillId="0" borderId="758" xfId="10" applyNumberFormat="1" applyFont="1" applyFill="1" applyBorder="1" applyAlignment="1" applyProtection="1">
      <alignment horizontal="right" vertical="center"/>
      <protection locked="0"/>
    </xf>
    <xf numFmtId="10" fontId="59" fillId="0" borderId="759" xfId="10" applyNumberFormat="1" applyFont="1" applyFill="1" applyBorder="1" applyAlignment="1" applyProtection="1">
      <alignment horizontal="right" vertical="center"/>
      <protection locked="0"/>
    </xf>
    <xf numFmtId="3" fontId="59" fillId="2" borderId="751" xfId="10" applyNumberFormat="1" applyFont="1" applyFill="1" applyBorder="1" applyAlignment="1" applyProtection="1">
      <alignment horizontal="right" vertical="center"/>
      <protection locked="0"/>
    </xf>
    <xf numFmtId="3" fontId="59" fillId="2" borderId="752" xfId="10" applyNumberFormat="1" applyFont="1" applyFill="1" applyBorder="1" applyAlignment="1" applyProtection="1">
      <alignment horizontal="right" vertical="center"/>
      <protection locked="0"/>
    </xf>
    <xf numFmtId="10" fontId="59" fillId="2" borderId="753" xfId="10" applyNumberFormat="1" applyFont="1" applyFill="1" applyBorder="1" applyAlignment="1" applyProtection="1">
      <alignment horizontal="right" vertical="center"/>
      <protection locked="0"/>
    </xf>
    <xf numFmtId="49" fontId="60" fillId="13" borderId="770" xfId="10" applyNumberFormat="1" applyFont="1" applyFill="1" applyBorder="1" applyAlignment="1" applyProtection="1">
      <alignment horizontal="left" vertical="center" wrapText="1"/>
      <protection locked="0"/>
    </xf>
    <xf numFmtId="3" fontId="60" fillId="14" borderId="771" xfId="10" applyNumberFormat="1" applyFont="1" applyFill="1" applyBorder="1" applyAlignment="1" applyProtection="1">
      <alignment horizontal="right" vertical="center"/>
      <protection locked="0"/>
    </xf>
    <xf numFmtId="3" fontId="55" fillId="0" borderId="772" xfId="10" applyNumberFormat="1" applyFont="1" applyFill="1" applyBorder="1" applyAlignment="1" applyProtection="1">
      <alignment horizontal="right" vertical="center"/>
      <protection locked="0"/>
    </xf>
    <xf numFmtId="49" fontId="55" fillId="10" borderId="773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774" xfId="10" applyNumberFormat="1" applyFont="1" applyFill="1" applyBorder="1" applyAlignment="1" applyProtection="1">
      <alignment horizontal="right" vertical="center"/>
      <protection locked="0"/>
    </xf>
    <xf numFmtId="49" fontId="55" fillId="0" borderId="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75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776" xfId="10" applyNumberFormat="1" applyFont="1" applyFill="1" applyBorder="1" applyAlignment="1" applyProtection="1">
      <alignment horizontal="right" vertical="center"/>
      <protection locked="0"/>
    </xf>
    <xf numFmtId="10" fontId="55" fillId="0" borderId="777" xfId="10" applyNumberFormat="1" applyFont="1" applyFill="1" applyBorder="1" applyAlignment="1" applyProtection="1">
      <alignment horizontal="right" vertical="center"/>
      <protection locked="0"/>
    </xf>
    <xf numFmtId="49" fontId="59" fillId="12" borderId="778" xfId="10" applyNumberFormat="1" applyFont="1" applyFill="1" applyBorder="1" applyAlignment="1" applyProtection="1">
      <alignment horizontal="left" vertical="center" wrapText="1"/>
      <protection locked="0"/>
    </xf>
    <xf numFmtId="3" fontId="59" fillId="2" borderId="10" xfId="10" applyNumberFormat="1" applyFont="1" applyFill="1" applyBorder="1" applyAlignment="1" applyProtection="1">
      <alignment horizontal="right" vertical="center"/>
      <protection locked="0"/>
    </xf>
    <xf numFmtId="3" fontId="59" fillId="2" borderId="779" xfId="10" applyNumberFormat="1" applyFont="1" applyFill="1" applyBorder="1" applyAlignment="1" applyProtection="1">
      <alignment horizontal="right" vertical="center"/>
      <protection locked="0"/>
    </xf>
    <xf numFmtId="49" fontId="60" fillId="13" borderId="444" xfId="10" applyNumberFormat="1" applyFont="1" applyFill="1" applyBorder="1" applyAlignment="1" applyProtection="1">
      <alignment horizontal="left" vertical="center" wrapText="1"/>
      <protection locked="0"/>
    </xf>
    <xf numFmtId="3" fontId="60" fillId="14" borderId="12" xfId="10" applyNumberFormat="1" applyFont="1" applyFill="1" applyBorder="1" applyAlignment="1" applyProtection="1">
      <alignment horizontal="right" vertical="center"/>
      <protection locked="0"/>
    </xf>
    <xf numFmtId="3" fontId="59" fillId="0" borderId="55" xfId="10" applyNumberFormat="1" applyFont="1" applyFill="1" applyBorder="1" applyAlignment="1" applyProtection="1">
      <alignment horizontal="right" vertical="center"/>
      <protection locked="0"/>
    </xf>
    <xf numFmtId="3" fontId="55" fillId="0" borderId="599" xfId="10" applyNumberFormat="1" applyFont="1" applyFill="1" applyBorder="1" applyAlignment="1" applyProtection="1">
      <alignment horizontal="right" vertical="center"/>
      <protection locked="0"/>
    </xf>
    <xf numFmtId="3" fontId="61" fillId="0" borderId="599" xfId="10" applyNumberFormat="1" applyFont="1" applyFill="1" applyBorder="1" applyAlignment="1" applyProtection="1">
      <alignment horizontal="right" vertical="center"/>
      <protection locked="0"/>
    </xf>
    <xf numFmtId="3" fontId="61" fillId="0" borderId="772" xfId="10" applyNumberFormat="1" applyFont="1" applyFill="1" applyBorder="1" applyAlignment="1" applyProtection="1">
      <alignment horizontal="right" vertical="center"/>
      <protection locked="0"/>
    </xf>
    <xf numFmtId="49" fontId="55" fillId="10" borderId="781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648" xfId="10" applyNumberFormat="1" applyFont="1" applyFill="1" applyBorder="1" applyAlignment="1" applyProtection="1">
      <alignment horizontal="right" vertical="center"/>
      <protection locked="0"/>
    </xf>
    <xf numFmtId="49" fontId="55" fillId="0" borderId="709" xfId="10" applyNumberFormat="1" applyFont="1" applyFill="1" applyBorder="1" applyAlignment="1" applyProtection="1">
      <alignment vertical="center" wrapText="1"/>
      <protection locked="0"/>
    </xf>
    <xf numFmtId="0" fontId="0" fillId="0" borderId="599" xfId="0" applyBorder="1" applyAlignment="1">
      <alignment vertical="center" wrapText="1"/>
    </xf>
    <xf numFmtId="10" fontId="0" fillId="0" borderId="599" xfId="0" applyNumberFormat="1" applyBorder="1" applyAlignment="1">
      <alignment horizontal="right" vertical="center" wrapText="1"/>
    </xf>
    <xf numFmtId="49" fontId="55" fillId="10" borderId="78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83" xfId="10" applyNumberFormat="1" applyFont="1" applyFill="1" applyBorder="1" applyAlignment="1" applyProtection="1">
      <alignment horizontal="left" vertical="center" wrapText="1"/>
      <protection locked="0"/>
    </xf>
    <xf numFmtId="49" fontId="59" fillId="12" borderId="50" xfId="10" applyNumberFormat="1" applyFont="1" applyFill="1" applyBorder="1" applyAlignment="1" applyProtection="1">
      <alignment horizontal="center" vertical="center" wrapText="1"/>
      <protection locked="0"/>
    </xf>
    <xf numFmtId="49" fontId="59" fillId="12" borderId="784" xfId="10" applyNumberFormat="1" applyFont="1" applyFill="1" applyBorder="1" applyAlignment="1" applyProtection="1">
      <alignment horizontal="left" vertical="center" wrapText="1"/>
      <protection locked="0"/>
    </xf>
    <xf numFmtId="3" fontId="55" fillId="6" borderId="647" xfId="10" applyNumberFormat="1" applyFont="1" applyFill="1" applyBorder="1" applyAlignment="1" applyProtection="1">
      <alignment horizontal="right" vertical="center"/>
      <protection locked="0"/>
    </xf>
    <xf numFmtId="10" fontId="55" fillId="6" borderId="648" xfId="10" applyNumberFormat="1" applyFont="1" applyFill="1" applyBorder="1" applyAlignment="1" applyProtection="1">
      <alignment horizontal="right" vertical="center"/>
      <protection locked="0"/>
    </xf>
    <xf numFmtId="49" fontId="55" fillId="10" borderId="785" xfId="10" applyNumberFormat="1" applyFont="1" applyFill="1" applyBorder="1" applyAlignment="1" applyProtection="1">
      <alignment horizontal="left" vertical="center" wrapText="1"/>
      <protection locked="0"/>
    </xf>
    <xf numFmtId="10" fontId="55" fillId="6" borderId="786" xfId="10" applyNumberFormat="1" applyFont="1" applyFill="1" applyBorder="1" applyAlignment="1" applyProtection="1">
      <alignment horizontal="right" vertical="center"/>
      <protection locked="0"/>
    </xf>
    <xf numFmtId="49" fontId="59" fillId="0" borderId="6" xfId="10" applyNumberFormat="1" applyFont="1" applyFill="1" applyBorder="1" applyAlignment="1" applyProtection="1">
      <alignment horizontal="center" vertical="center" wrapText="1"/>
      <protection locked="0"/>
    </xf>
    <xf numFmtId="3" fontId="55" fillId="0" borderId="788" xfId="10" applyNumberFormat="1" applyFont="1" applyFill="1" applyBorder="1" applyAlignment="1" applyProtection="1">
      <alignment horizontal="right" vertical="center"/>
      <protection locked="0"/>
    </xf>
    <xf numFmtId="10" fontId="55" fillId="0" borderId="789" xfId="10" applyNumberFormat="1" applyFont="1" applyFill="1" applyBorder="1" applyAlignment="1" applyProtection="1">
      <alignment horizontal="right" vertical="center"/>
      <protection locked="0"/>
    </xf>
    <xf numFmtId="3" fontId="61" fillId="0" borderId="788" xfId="10" applyNumberFormat="1" applyFont="1" applyFill="1" applyBorder="1" applyAlignment="1" applyProtection="1">
      <alignment horizontal="right" vertical="center"/>
      <protection locked="0"/>
    </xf>
    <xf numFmtId="10" fontId="61" fillId="0" borderId="789" xfId="10" applyNumberFormat="1" applyFont="1" applyFill="1" applyBorder="1" applyAlignment="1" applyProtection="1">
      <alignment horizontal="right" vertical="center"/>
      <protection locked="0"/>
    </xf>
    <xf numFmtId="49" fontId="55" fillId="10" borderId="79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91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79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93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79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95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647" xfId="10" applyNumberFormat="1" applyFont="1" applyFill="1" applyBorder="1" applyAlignment="1" applyProtection="1">
      <alignment horizontal="right" vertical="center"/>
      <protection locked="0"/>
    </xf>
    <xf numFmtId="49" fontId="55" fillId="10" borderId="79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09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797" xfId="10" applyNumberFormat="1" applyFont="1" applyFill="1" applyBorder="1" applyAlignment="1" applyProtection="1">
      <alignment vertical="center" wrapText="1"/>
      <protection locked="0"/>
    </xf>
    <xf numFmtId="49" fontId="55" fillId="10" borderId="798" xfId="10" applyNumberFormat="1" applyFont="1" applyFill="1" applyBorder="1" applyAlignment="1" applyProtection="1">
      <alignment horizontal="center" vertical="center" wrapText="1"/>
      <protection locked="0"/>
    </xf>
    <xf numFmtId="0" fontId="55" fillId="0" borderId="799" xfId="10" applyNumberFormat="1" applyFont="1" applyFill="1" applyBorder="1" applyAlignment="1" applyProtection="1">
      <alignment vertical="center"/>
      <protection locked="0"/>
    </xf>
    <xf numFmtId="0" fontId="55" fillId="0" borderId="647" xfId="10" applyNumberFormat="1" applyFont="1" applyFill="1" applyBorder="1" applyAlignment="1" applyProtection="1">
      <alignment vertical="center"/>
      <protection locked="0"/>
    </xf>
    <xf numFmtId="3" fontId="61" fillId="0" borderId="800" xfId="10" applyNumberFormat="1" applyFont="1" applyFill="1" applyBorder="1" applyAlignment="1" applyProtection="1">
      <alignment horizontal="right" vertical="center"/>
      <protection locked="0"/>
    </xf>
    <xf numFmtId="10" fontId="61" fillId="0" borderId="801" xfId="10" applyNumberFormat="1" applyFont="1" applyFill="1" applyBorder="1" applyAlignment="1" applyProtection="1">
      <alignment horizontal="right" vertical="center"/>
      <protection locked="0"/>
    </xf>
    <xf numFmtId="49" fontId="55" fillId="10" borderId="80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0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04" xfId="10" applyNumberFormat="1" applyFont="1" applyFill="1" applyBorder="1" applyAlignment="1" applyProtection="1">
      <alignment vertical="center" wrapText="1"/>
      <protection locked="0"/>
    </xf>
    <xf numFmtId="49" fontId="55" fillId="10" borderId="709" xfId="10" applyNumberFormat="1" applyFont="1" applyFill="1" applyBorder="1" applyAlignment="1" applyProtection="1">
      <alignment vertical="center" wrapText="1"/>
      <protection locked="0"/>
    </xf>
    <xf numFmtId="49" fontId="55" fillId="10" borderId="788" xfId="10" applyNumberFormat="1" applyFont="1" applyFill="1" applyBorder="1" applyAlignment="1" applyProtection="1">
      <alignment vertical="center" wrapText="1"/>
      <protection locked="0"/>
    </xf>
    <xf numFmtId="10" fontId="55" fillId="10" borderId="789" xfId="10" applyNumberFormat="1" applyFont="1" applyFill="1" applyBorder="1" applyAlignment="1" applyProtection="1">
      <alignment horizontal="right" vertical="center" wrapText="1"/>
      <protection locked="0"/>
    </xf>
    <xf numFmtId="3" fontId="55" fillId="10" borderId="461" xfId="10" applyNumberFormat="1" applyFont="1" applyFill="1" applyBorder="1" applyAlignment="1" applyProtection="1">
      <alignment horizontal="right" vertical="center" wrapText="1"/>
      <protection locked="0"/>
    </xf>
    <xf numFmtId="49" fontId="55" fillId="10" borderId="805" xfId="10" applyNumberFormat="1" applyFont="1" applyFill="1" applyBorder="1" applyAlignment="1" applyProtection="1">
      <alignment horizontal="left" vertical="center" wrapText="1"/>
      <protection locked="0"/>
    </xf>
    <xf numFmtId="3" fontId="55" fillId="10" borderId="806" xfId="10" applyNumberFormat="1" applyFont="1" applyFill="1" applyBorder="1" applyAlignment="1" applyProtection="1">
      <alignment horizontal="right" vertical="center" wrapText="1"/>
      <protection locked="0"/>
    </xf>
    <xf numFmtId="10" fontId="55" fillId="10" borderId="780" xfId="10" applyNumberFormat="1" applyFont="1" applyFill="1" applyBorder="1" applyAlignment="1" applyProtection="1">
      <alignment horizontal="right" vertical="center" wrapText="1"/>
      <protection locked="0"/>
    </xf>
    <xf numFmtId="49" fontId="55" fillId="10" borderId="807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0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09" xfId="10" applyNumberFormat="1" applyFont="1" applyFill="1" applyBorder="1" applyAlignment="1" applyProtection="1">
      <alignment horizontal="center" vertical="center" wrapText="1"/>
      <protection locked="0"/>
    </xf>
    <xf numFmtId="3" fontId="55" fillId="10" borderId="78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1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14" xfId="10" applyNumberFormat="1" applyFont="1" applyFill="1" applyBorder="1" applyAlignment="1" applyProtection="1">
      <alignment horizontal="left" vertical="center" wrapText="1"/>
      <protection locked="0"/>
    </xf>
    <xf numFmtId="0" fontId="55" fillId="0" borderId="308" xfId="10" applyNumberFormat="1" applyFont="1" applyFill="1" applyBorder="1" applyAlignment="1" applyProtection="1">
      <alignment horizontal="left" vertical="center"/>
      <protection locked="0"/>
    </xf>
    <xf numFmtId="3" fontId="55" fillId="0" borderId="812" xfId="10" applyNumberFormat="1" applyFont="1" applyFill="1" applyBorder="1" applyAlignment="1" applyProtection="1">
      <alignment vertical="center"/>
      <protection locked="0"/>
    </xf>
    <xf numFmtId="10" fontId="55" fillId="0" borderId="813" xfId="10" applyNumberFormat="1" applyFont="1" applyFill="1" applyBorder="1" applyAlignment="1" applyProtection="1">
      <alignment horizontal="right" vertical="center"/>
      <protection locked="0"/>
    </xf>
    <xf numFmtId="49" fontId="55" fillId="10" borderId="81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09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788" xfId="10" applyNumberFormat="1" applyFont="1" applyFill="1" applyBorder="1" applyAlignment="1" applyProtection="1">
      <alignment vertical="center"/>
      <protection locked="0"/>
    </xf>
    <xf numFmtId="49" fontId="55" fillId="10" borderId="804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815" xfId="10" applyNumberFormat="1" applyFont="1" applyFill="1" applyBorder="1" applyAlignment="1" applyProtection="1">
      <alignment horizontal="center" vertical="center" wrapText="1"/>
      <protection locked="0"/>
    </xf>
    <xf numFmtId="0" fontId="55" fillId="10" borderId="816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817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62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1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16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14" xfId="10" applyNumberFormat="1" applyFont="1" applyFill="1" applyBorder="1" applyAlignment="1" applyProtection="1">
      <alignment vertical="center" wrapText="1"/>
      <protection locked="0"/>
    </xf>
    <xf numFmtId="49" fontId="55" fillId="10" borderId="461" xfId="10" applyNumberFormat="1" applyFont="1" applyFill="1" applyBorder="1" applyAlignment="1" applyProtection="1">
      <alignment vertical="center" wrapText="1"/>
      <protection locked="0"/>
    </xf>
    <xf numFmtId="3" fontId="59" fillId="0" borderId="819" xfId="10" applyNumberFormat="1" applyFont="1" applyFill="1" applyBorder="1" applyAlignment="1" applyProtection="1">
      <alignment horizontal="right" vertical="center"/>
      <protection locked="0"/>
    </xf>
    <xf numFmtId="10" fontId="59" fillId="0" borderId="820" xfId="10" applyNumberFormat="1" applyFont="1" applyFill="1" applyBorder="1" applyAlignment="1" applyProtection="1">
      <alignment horizontal="right" vertical="center"/>
      <protection locked="0"/>
    </xf>
    <xf numFmtId="49" fontId="55" fillId="10" borderId="82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22" xfId="10" applyNumberFormat="1" applyFont="1" applyFill="1" applyBorder="1" applyAlignment="1" applyProtection="1">
      <alignment vertical="center" wrapText="1"/>
      <protection locked="0"/>
    </xf>
    <xf numFmtId="49" fontId="55" fillId="10" borderId="819" xfId="10" applyNumberFormat="1" applyFont="1" applyFill="1" applyBorder="1" applyAlignment="1" applyProtection="1">
      <alignment vertical="center" wrapText="1"/>
      <protection locked="0"/>
    </xf>
    <xf numFmtId="10" fontId="55" fillId="10" borderId="820" xfId="10" applyNumberFormat="1" applyFont="1" applyFill="1" applyBorder="1" applyAlignment="1" applyProtection="1">
      <alignment horizontal="right" vertical="center" wrapText="1"/>
      <protection locked="0"/>
    </xf>
    <xf numFmtId="3" fontId="61" fillId="0" borderId="819" xfId="10" applyNumberFormat="1" applyFont="1" applyFill="1" applyBorder="1" applyAlignment="1" applyProtection="1">
      <alignment horizontal="right" vertical="center"/>
      <protection locked="0"/>
    </xf>
    <xf numFmtId="10" fontId="61" fillId="0" borderId="820" xfId="10" applyNumberFormat="1" applyFont="1" applyFill="1" applyBorder="1" applyAlignment="1" applyProtection="1">
      <alignment horizontal="right" vertical="center"/>
      <protection locked="0"/>
    </xf>
    <xf numFmtId="3" fontId="55" fillId="0" borderId="823" xfId="10" applyNumberFormat="1" applyFont="1" applyFill="1" applyBorder="1" applyAlignment="1" applyProtection="1">
      <alignment horizontal="right" vertical="center"/>
      <protection locked="0"/>
    </xf>
    <xf numFmtId="10" fontId="55" fillId="0" borderId="824" xfId="10" applyNumberFormat="1" applyFont="1" applyFill="1" applyBorder="1" applyAlignment="1" applyProtection="1">
      <alignment horizontal="right" vertical="center"/>
      <protection locked="0"/>
    </xf>
    <xf numFmtId="49" fontId="55" fillId="10" borderId="82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57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307" xfId="10" applyNumberFormat="1" applyFont="1" applyFill="1" applyBorder="1" applyAlignment="1" applyProtection="1">
      <alignment vertical="center" wrapText="1"/>
      <protection locked="0"/>
    </xf>
    <xf numFmtId="49" fontId="55" fillId="10" borderId="308" xfId="10" applyNumberFormat="1" applyFont="1" applyFill="1" applyBorder="1" applyAlignment="1" applyProtection="1">
      <alignment vertical="center" wrapText="1"/>
      <protection locked="0"/>
    </xf>
    <xf numFmtId="3" fontId="55" fillId="0" borderId="827" xfId="10" applyNumberFormat="1" applyFont="1" applyFill="1" applyBorder="1" applyAlignment="1" applyProtection="1">
      <alignment horizontal="right" vertical="center"/>
      <protection locked="0"/>
    </xf>
    <xf numFmtId="10" fontId="55" fillId="0" borderId="828" xfId="10" applyNumberFormat="1" applyFont="1" applyFill="1" applyBorder="1" applyAlignment="1" applyProtection="1">
      <alignment horizontal="right" vertical="center"/>
      <protection locked="0"/>
    </xf>
    <xf numFmtId="3" fontId="55" fillId="10" borderId="829" xfId="10" applyNumberFormat="1" applyFont="1" applyFill="1" applyBorder="1" applyAlignment="1" applyProtection="1">
      <alignment horizontal="right" vertical="center" wrapText="1"/>
      <protection locked="0"/>
    </xf>
    <xf numFmtId="3" fontId="55" fillId="15" borderId="829" xfId="10" applyNumberFormat="1" applyFont="1" applyFill="1" applyBorder="1" applyAlignment="1" applyProtection="1">
      <alignment horizontal="right" vertical="center" wrapText="1"/>
      <protection locked="0"/>
    </xf>
    <xf numFmtId="10" fontId="55" fillId="15" borderId="830" xfId="10" applyNumberFormat="1" applyFont="1" applyFill="1" applyBorder="1" applyAlignment="1" applyProtection="1">
      <alignment horizontal="right" vertical="center" wrapText="1"/>
      <protection locked="0"/>
    </xf>
    <xf numFmtId="49" fontId="55" fillId="10" borderId="831" xfId="10" applyNumberFormat="1" applyFont="1" applyFill="1" applyBorder="1" applyAlignment="1" applyProtection="1">
      <alignment horizontal="left" vertical="center" wrapText="1"/>
      <protection locked="0"/>
    </xf>
    <xf numFmtId="10" fontId="55" fillId="10" borderId="830" xfId="10" applyNumberFormat="1" applyFont="1" applyFill="1" applyBorder="1" applyAlignment="1" applyProtection="1">
      <alignment horizontal="right" vertical="center" wrapText="1"/>
      <protection locked="0"/>
    </xf>
    <xf numFmtId="3" fontId="55" fillId="10" borderId="832" xfId="10" applyNumberFormat="1" applyFont="1" applyFill="1" applyBorder="1" applyAlignment="1" applyProtection="1">
      <alignment horizontal="right" vertical="center" wrapText="1"/>
      <protection locked="0"/>
    </xf>
    <xf numFmtId="10" fontId="55" fillId="10" borderId="833" xfId="10" applyNumberFormat="1" applyFont="1" applyFill="1" applyBorder="1" applyAlignment="1" applyProtection="1">
      <alignment horizontal="right" vertical="center" wrapText="1"/>
      <protection locked="0"/>
    </xf>
    <xf numFmtId="49" fontId="55" fillId="10" borderId="83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35" xfId="10" applyNumberFormat="1" applyFont="1" applyFill="1" applyBorder="1" applyAlignment="1" applyProtection="1">
      <alignment horizontal="left" vertical="center" wrapText="1"/>
      <protection locked="0"/>
    </xf>
    <xf numFmtId="3" fontId="55" fillId="10" borderId="836" xfId="10" applyNumberFormat="1" applyFont="1" applyFill="1" applyBorder="1" applyAlignment="1" applyProtection="1">
      <alignment horizontal="right" vertical="center" wrapText="1"/>
      <protection locked="0"/>
    </xf>
    <xf numFmtId="10" fontId="55" fillId="10" borderId="837" xfId="10" applyNumberFormat="1" applyFont="1" applyFill="1" applyBorder="1" applyAlignment="1" applyProtection="1">
      <alignment horizontal="right" vertical="center" wrapText="1"/>
      <protection locked="0"/>
    </xf>
    <xf numFmtId="3" fontId="59" fillId="0" borderId="829" xfId="10" applyNumberFormat="1" applyFont="1" applyFill="1" applyBorder="1" applyAlignment="1" applyProtection="1">
      <alignment horizontal="right" vertical="center"/>
      <protection locked="0"/>
    </xf>
    <xf numFmtId="10" fontId="59" fillId="0" borderId="830" xfId="10" applyNumberFormat="1" applyFont="1" applyFill="1" applyBorder="1" applyAlignment="1" applyProtection="1">
      <alignment horizontal="right" vertical="center"/>
      <protection locked="0"/>
    </xf>
    <xf numFmtId="49" fontId="55" fillId="10" borderId="83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39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737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4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41" xfId="10" applyNumberFormat="1" applyFont="1" applyFill="1" applyBorder="1" applyAlignment="1" applyProtection="1">
      <alignment horizontal="left" vertical="center" wrapText="1"/>
      <protection locked="0"/>
    </xf>
    <xf numFmtId="2" fontId="55" fillId="0" borderId="842" xfId="10" applyNumberFormat="1" applyFont="1" applyFill="1" applyBorder="1" applyAlignment="1" applyProtection="1">
      <alignment horizontal="left" vertical="center" wrapText="1"/>
      <protection locked="0"/>
    </xf>
    <xf numFmtId="2" fontId="55" fillId="0" borderId="805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2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42" xfId="10" applyNumberFormat="1" applyFont="1" applyFill="1" applyBorder="1" applyAlignment="1" applyProtection="1">
      <alignment vertical="center" wrapText="1"/>
      <protection locked="0"/>
    </xf>
    <xf numFmtId="49" fontId="55" fillId="10" borderId="842" xfId="10" applyNumberFormat="1" applyFont="1" applyFill="1" applyBorder="1" applyAlignment="1" applyProtection="1">
      <alignment horizontal="left" vertical="center" wrapText="1"/>
      <protection locked="0"/>
    </xf>
    <xf numFmtId="3" fontId="59" fillId="0" borderId="788" xfId="10" applyNumberFormat="1" applyFont="1" applyFill="1" applyBorder="1" applyAlignment="1" applyProtection="1">
      <alignment horizontal="right" vertical="center"/>
      <protection locked="0"/>
    </xf>
    <xf numFmtId="10" fontId="59" fillId="0" borderId="789" xfId="10" applyNumberFormat="1" applyFont="1" applyFill="1" applyBorder="1" applyAlignment="1" applyProtection="1">
      <alignment horizontal="right" vertical="center"/>
      <protection locked="0"/>
    </xf>
    <xf numFmtId="2" fontId="55" fillId="0" borderId="62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819" xfId="10" applyNumberFormat="1" applyFont="1" applyFill="1" applyBorder="1" applyAlignment="1" applyProtection="1">
      <alignment horizontal="right" vertical="center"/>
      <protection locked="0"/>
    </xf>
    <xf numFmtId="10" fontId="55" fillId="0" borderId="820" xfId="10" applyNumberFormat="1" applyFont="1" applyFill="1" applyBorder="1" applyAlignment="1" applyProtection="1">
      <alignment horizontal="right" vertical="center"/>
      <protection locked="0"/>
    </xf>
    <xf numFmtId="3" fontId="59" fillId="0" borderId="8" xfId="10" applyNumberFormat="1" applyFont="1" applyFill="1" applyBorder="1" applyAlignment="1" applyProtection="1">
      <alignment horizontal="right" vertical="center"/>
      <protection locked="0"/>
    </xf>
    <xf numFmtId="49" fontId="55" fillId="10" borderId="62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22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84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44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847" xfId="10" applyNumberFormat="1" applyFont="1" applyFill="1" applyBorder="1" applyAlignment="1" applyProtection="1">
      <alignment horizontal="right" vertical="center"/>
      <protection locked="0"/>
    </xf>
    <xf numFmtId="10" fontId="55" fillId="0" borderId="848" xfId="10" applyNumberFormat="1" applyFont="1" applyFill="1" applyBorder="1" applyAlignment="1" applyProtection="1">
      <alignment horizontal="right" vertical="center"/>
      <protection locked="0"/>
    </xf>
    <xf numFmtId="49" fontId="55" fillId="0" borderId="849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622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0" xfId="10" applyNumberFormat="1" applyFont="1" applyFill="1" applyBorder="1" applyAlignment="1" applyProtection="1">
      <alignment horizontal="center" vertical="center" wrapText="1"/>
      <protection locked="0"/>
    </xf>
    <xf numFmtId="3" fontId="59" fillId="0" borderId="823" xfId="10" applyNumberFormat="1" applyFont="1" applyFill="1" applyBorder="1" applyAlignment="1" applyProtection="1">
      <alignment horizontal="right" vertical="center"/>
      <protection locked="0"/>
    </xf>
    <xf numFmtId="49" fontId="23" fillId="0" borderId="816" xfId="0" applyNumberFormat="1" applyFont="1" applyBorder="1" applyAlignment="1">
      <alignment vertical="center" wrapText="1"/>
    </xf>
    <xf numFmtId="49" fontId="55" fillId="0" borderId="850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94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852" xfId="10" applyNumberFormat="1" applyFont="1" applyFill="1" applyBorder="1" applyAlignment="1" applyProtection="1">
      <alignment horizontal="center" vertical="center" wrapText="1"/>
      <protection locked="0"/>
    </xf>
    <xf numFmtId="49" fontId="60" fillId="0" borderId="0" xfId="10" applyNumberFormat="1" applyFont="1" applyFill="1" applyBorder="1" applyAlignment="1" applyProtection="1">
      <alignment horizontal="center" vertical="center" wrapText="1"/>
      <protection locked="0"/>
    </xf>
    <xf numFmtId="49" fontId="60" fillId="0" borderId="15" xfId="10" applyNumberFormat="1" applyFont="1" applyFill="1" applyBorder="1" applyAlignment="1" applyProtection="1">
      <alignment horizontal="center" vertical="center" wrapText="1"/>
      <protection locked="0"/>
    </xf>
    <xf numFmtId="10" fontId="60" fillId="0" borderId="5" xfId="10" applyNumberFormat="1" applyFont="1" applyFill="1" applyBorder="1" applyAlignment="1" applyProtection="1">
      <alignment horizontal="right" vertical="center" wrapText="1"/>
      <protection locked="0"/>
    </xf>
    <xf numFmtId="3" fontId="59" fillId="0" borderId="847" xfId="10" applyNumberFormat="1" applyFont="1" applyFill="1" applyBorder="1" applyAlignment="1" applyProtection="1">
      <alignment horizontal="right" vertical="center"/>
      <protection locked="0"/>
    </xf>
    <xf numFmtId="10" fontId="59" fillId="0" borderId="848" xfId="10" applyNumberFormat="1" applyFont="1" applyFill="1" applyBorder="1" applyAlignment="1" applyProtection="1">
      <alignment horizontal="right" vertical="center"/>
      <protection locked="0"/>
    </xf>
    <xf numFmtId="49" fontId="55" fillId="10" borderId="85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5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56" xfId="10" applyNumberFormat="1" applyFont="1" applyFill="1" applyBorder="1" applyAlignment="1" applyProtection="1">
      <alignment horizontal="left" vertical="center" wrapText="1"/>
      <protection locked="0"/>
    </xf>
    <xf numFmtId="49" fontId="59" fillId="14" borderId="4" xfId="10" applyNumberFormat="1" applyFont="1" applyFill="1" applyBorder="1" applyAlignment="1" applyProtection="1">
      <alignment horizontal="center" vertical="center" wrapText="1"/>
      <protection locked="0"/>
    </xf>
    <xf numFmtId="49" fontId="59" fillId="13" borderId="322" xfId="10" applyNumberFormat="1" applyFont="1" applyFill="1" applyBorder="1" applyAlignment="1" applyProtection="1">
      <alignment horizontal="center" vertical="center" wrapText="1"/>
      <protection locked="0"/>
    </xf>
    <xf numFmtId="49" fontId="59" fillId="13" borderId="323" xfId="10" applyNumberFormat="1" applyFont="1" applyFill="1" applyBorder="1" applyAlignment="1" applyProtection="1">
      <alignment horizontal="left" vertical="center" wrapText="1"/>
      <protection locked="0"/>
    </xf>
    <xf numFmtId="3" fontId="60" fillId="14" borderId="14" xfId="10" applyNumberFormat="1" applyFont="1" applyFill="1" applyBorder="1" applyAlignment="1" applyProtection="1">
      <alignment horizontal="right" vertical="center"/>
      <protection locked="0"/>
    </xf>
    <xf numFmtId="10" fontId="60" fillId="14" borderId="18" xfId="10" applyNumberFormat="1" applyFont="1" applyFill="1" applyBorder="1" applyAlignment="1" applyProtection="1">
      <alignment horizontal="right" vertical="center"/>
      <protection locked="0"/>
    </xf>
    <xf numFmtId="3" fontId="55" fillId="6" borderId="847" xfId="10" applyNumberFormat="1" applyFont="1" applyFill="1" applyBorder="1" applyAlignment="1" applyProtection="1">
      <alignment horizontal="right" vertical="center"/>
      <protection locked="0"/>
    </xf>
    <xf numFmtId="10" fontId="55" fillId="6" borderId="848" xfId="10" applyNumberFormat="1" applyFont="1" applyFill="1" applyBorder="1" applyAlignment="1" applyProtection="1">
      <alignment horizontal="right" vertical="center"/>
      <protection locked="0"/>
    </xf>
    <xf numFmtId="49" fontId="55" fillId="15" borderId="818" xfId="10" applyNumberFormat="1" applyFont="1" applyFill="1" applyBorder="1" applyAlignment="1" applyProtection="1">
      <alignment horizontal="center" vertical="center" wrapText="1"/>
      <protection locked="0"/>
    </xf>
    <xf numFmtId="49" fontId="55" fillId="15" borderId="622" xfId="10" applyNumberFormat="1" applyFont="1" applyFill="1" applyBorder="1" applyAlignment="1" applyProtection="1">
      <alignment horizontal="left" vertical="center" wrapText="1"/>
      <protection locked="0"/>
    </xf>
    <xf numFmtId="49" fontId="59" fillId="15" borderId="0" xfId="10" applyNumberFormat="1" applyFont="1" applyFill="1" applyBorder="1" applyAlignment="1" applyProtection="1">
      <alignment vertical="center" wrapText="1"/>
      <protection locked="0"/>
    </xf>
    <xf numFmtId="10" fontId="55" fillId="0" borderId="857" xfId="10" applyNumberFormat="1" applyFont="1" applyFill="1" applyBorder="1" applyAlignment="1" applyProtection="1">
      <alignment horizontal="right" vertical="center"/>
      <protection locked="0"/>
    </xf>
    <xf numFmtId="3" fontId="55" fillId="0" borderId="858" xfId="10" applyNumberFormat="1" applyFont="1" applyFill="1" applyBorder="1" applyAlignment="1" applyProtection="1">
      <alignment horizontal="right" vertical="center"/>
      <protection locked="0"/>
    </xf>
    <xf numFmtId="10" fontId="55" fillId="0" borderId="859" xfId="10" applyNumberFormat="1" applyFont="1" applyFill="1" applyBorder="1" applyAlignment="1" applyProtection="1">
      <alignment horizontal="right" vertical="center"/>
      <protection locked="0"/>
    </xf>
    <xf numFmtId="49" fontId="55" fillId="15" borderId="861" xfId="10" applyNumberFormat="1" applyFont="1" applyFill="1" applyBorder="1" applyAlignment="1" applyProtection="1">
      <alignment horizontal="center" vertical="center" wrapText="1"/>
      <protection locked="0"/>
    </xf>
    <xf numFmtId="49" fontId="55" fillId="15" borderId="86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6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63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864" xfId="10" applyNumberFormat="1" applyFont="1" applyFill="1" applyBorder="1" applyAlignment="1" applyProtection="1">
      <alignment horizontal="right" vertical="center"/>
      <protection locked="0"/>
    </xf>
    <xf numFmtId="10" fontId="55" fillId="0" borderId="865" xfId="10" applyNumberFormat="1" applyFont="1" applyFill="1" applyBorder="1" applyAlignment="1" applyProtection="1">
      <alignment horizontal="right" vertical="center"/>
      <protection locked="0"/>
    </xf>
    <xf numFmtId="3" fontId="61" fillId="0" borderId="847" xfId="10" applyNumberFormat="1" applyFont="1" applyFill="1" applyBorder="1" applyAlignment="1" applyProtection="1">
      <alignment horizontal="right" vertical="center"/>
      <protection locked="0"/>
    </xf>
    <xf numFmtId="10" fontId="61" fillId="0" borderId="848" xfId="10" applyNumberFormat="1" applyFont="1" applyFill="1" applyBorder="1" applyAlignment="1" applyProtection="1">
      <alignment horizontal="right" vertical="center"/>
      <protection locked="0"/>
    </xf>
    <xf numFmtId="49" fontId="55" fillId="10" borderId="86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68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6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7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871" xfId="10" applyNumberFormat="1" applyFont="1" applyFill="1" applyBorder="1" applyAlignment="1" applyProtection="1">
      <alignment horizontal="right" vertical="center"/>
      <protection locked="0"/>
    </xf>
    <xf numFmtId="10" fontId="55" fillId="0" borderId="872" xfId="10" applyNumberFormat="1" applyFont="1" applyFill="1" applyBorder="1" applyAlignment="1" applyProtection="1">
      <alignment horizontal="right" vertical="center"/>
      <protection locked="0"/>
    </xf>
    <xf numFmtId="49" fontId="55" fillId="10" borderId="87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" xfId="10" applyNumberFormat="1" applyFont="1" applyFill="1" applyBorder="1" applyAlignment="1" applyProtection="1">
      <alignment vertical="center" wrapText="1"/>
      <protection locked="0"/>
    </xf>
    <xf numFmtId="3" fontId="55" fillId="0" borderId="876" xfId="10" applyNumberFormat="1" applyFont="1" applyFill="1" applyBorder="1" applyAlignment="1" applyProtection="1">
      <alignment horizontal="right" vertical="center"/>
      <protection locked="0"/>
    </xf>
    <xf numFmtId="10" fontId="55" fillId="0" borderId="877" xfId="10" applyNumberFormat="1" applyFont="1" applyFill="1" applyBorder="1" applyAlignment="1" applyProtection="1">
      <alignment horizontal="right" vertical="center"/>
      <protection locked="0"/>
    </xf>
    <xf numFmtId="49" fontId="55" fillId="10" borderId="87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8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881" xfId="10" applyNumberFormat="1" applyFont="1" applyFill="1" applyBorder="1" applyAlignment="1" applyProtection="1">
      <alignment horizontal="right" vertical="center"/>
      <protection locked="0"/>
    </xf>
    <xf numFmtId="10" fontId="55" fillId="0" borderId="882" xfId="10" applyNumberFormat="1" applyFont="1" applyFill="1" applyBorder="1" applyAlignment="1" applyProtection="1">
      <alignment horizontal="right" vertical="center"/>
      <protection locked="0"/>
    </xf>
    <xf numFmtId="3" fontId="55" fillId="0" borderId="884" xfId="10" applyNumberFormat="1" applyFont="1" applyFill="1" applyBorder="1" applyAlignment="1" applyProtection="1">
      <alignment horizontal="right" vertical="center"/>
      <protection locked="0"/>
    </xf>
    <xf numFmtId="10" fontId="55" fillId="0" borderId="885" xfId="10" applyNumberFormat="1" applyFont="1" applyFill="1" applyBorder="1" applyAlignment="1" applyProtection="1">
      <alignment horizontal="right" vertical="center"/>
      <protection locked="0"/>
    </xf>
    <xf numFmtId="3" fontId="55" fillId="0" borderId="887" xfId="10" applyNumberFormat="1" applyFont="1" applyFill="1" applyBorder="1" applyAlignment="1" applyProtection="1">
      <alignment horizontal="right" vertical="center"/>
      <protection locked="0"/>
    </xf>
    <xf numFmtId="10" fontId="55" fillId="0" borderId="888" xfId="10" applyNumberFormat="1" applyFont="1" applyFill="1" applyBorder="1" applyAlignment="1" applyProtection="1">
      <alignment horizontal="right" vertical="center"/>
      <protection locked="0"/>
    </xf>
    <xf numFmtId="49" fontId="55" fillId="10" borderId="88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9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891" xfId="10" applyNumberFormat="1" applyFont="1" applyFill="1" applyBorder="1" applyAlignment="1" applyProtection="1">
      <alignment horizontal="right" vertical="center"/>
      <protection locked="0"/>
    </xf>
    <xf numFmtId="10" fontId="55" fillId="0" borderId="892" xfId="10" applyNumberFormat="1" applyFont="1" applyFill="1" applyBorder="1" applyAlignment="1" applyProtection="1">
      <alignment horizontal="right" vertical="center"/>
      <protection locked="0"/>
    </xf>
    <xf numFmtId="3" fontId="55" fillId="0" borderId="894" xfId="10" applyNumberFormat="1" applyFont="1" applyFill="1" applyBorder="1" applyAlignment="1" applyProtection="1">
      <alignment horizontal="right" vertical="center"/>
      <protection locked="0"/>
    </xf>
    <xf numFmtId="10" fontId="55" fillId="0" borderId="895" xfId="10" applyNumberFormat="1" applyFont="1" applyFill="1" applyBorder="1" applyAlignment="1" applyProtection="1">
      <alignment horizontal="right" vertical="center"/>
      <protection locked="0"/>
    </xf>
    <xf numFmtId="49" fontId="55" fillId="10" borderId="89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97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9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99" xfId="10" applyNumberFormat="1" applyFont="1" applyFill="1" applyBorder="1" applyAlignment="1" applyProtection="1">
      <alignment horizontal="left" vertical="center" wrapText="1"/>
      <protection locked="0"/>
    </xf>
    <xf numFmtId="3" fontId="59" fillId="0" borderId="15" xfId="10" applyNumberFormat="1" applyFont="1" applyFill="1" applyBorder="1" applyAlignment="1" applyProtection="1">
      <alignment horizontal="right" vertical="center"/>
      <protection locked="0"/>
    </xf>
    <xf numFmtId="10" fontId="59" fillId="0" borderId="5" xfId="10" applyNumberFormat="1" applyFont="1" applyFill="1" applyBorder="1" applyAlignment="1" applyProtection="1">
      <alignment horizontal="right" vertical="center"/>
      <protection locked="0"/>
    </xf>
    <xf numFmtId="49" fontId="55" fillId="10" borderId="90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6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01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0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0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0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55" xfId="10" applyNumberFormat="1" applyFont="1" applyFill="1" applyBorder="1" applyAlignment="1" applyProtection="1">
      <alignment vertical="center" wrapText="1"/>
      <protection locked="0"/>
    </xf>
    <xf numFmtId="49" fontId="55" fillId="10" borderId="853" xfId="10" applyNumberFormat="1" applyFont="1" applyFill="1" applyBorder="1" applyAlignment="1" applyProtection="1">
      <alignment vertical="center" wrapText="1"/>
      <protection locked="0"/>
    </xf>
    <xf numFmtId="49" fontId="55" fillId="10" borderId="847" xfId="10" applyNumberFormat="1" applyFont="1" applyFill="1" applyBorder="1" applyAlignment="1" applyProtection="1">
      <alignment vertical="center" wrapText="1"/>
      <protection locked="0"/>
    </xf>
    <xf numFmtId="10" fontId="55" fillId="10" borderId="848" xfId="10" applyNumberFormat="1" applyFont="1" applyFill="1" applyBorder="1" applyAlignment="1" applyProtection="1">
      <alignment horizontal="right" vertical="center" wrapText="1"/>
      <protection locked="0"/>
    </xf>
    <xf numFmtId="3" fontId="55" fillId="0" borderId="905" xfId="10" applyNumberFormat="1" applyFont="1" applyFill="1" applyBorder="1" applyAlignment="1" applyProtection="1">
      <alignment horizontal="right" vertical="center"/>
      <protection locked="0"/>
    </xf>
    <xf numFmtId="10" fontId="55" fillId="0" borderId="906" xfId="10" applyNumberFormat="1" applyFont="1" applyFill="1" applyBorder="1" applyAlignment="1" applyProtection="1">
      <alignment horizontal="right" vertical="center"/>
      <protection locked="0"/>
    </xf>
    <xf numFmtId="49" fontId="60" fillId="13" borderId="861" xfId="10" applyNumberFormat="1" applyFont="1" applyFill="1" applyBorder="1" applyAlignment="1" applyProtection="1">
      <alignment horizontal="center" vertical="center" wrapText="1"/>
      <protection locked="0"/>
    </xf>
    <xf numFmtId="49" fontId="60" fillId="13" borderId="901" xfId="10" applyNumberFormat="1" applyFont="1" applyFill="1" applyBorder="1" applyAlignment="1" applyProtection="1">
      <alignment horizontal="left" vertical="center" wrapText="1"/>
      <protection locked="0"/>
    </xf>
    <xf numFmtId="3" fontId="60" fillId="14" borderId="847" xfId="10" applyNumberFormat="1" applyFont="1" applyFill="1" applyBorder="1" applyAlignment="1" applyProtection="1">
      <alignment horizontal="right" vertical="center"/>
      <protection locked="0"/>
    </xf>
    <xf numFmtId="10" fontId="60" fillId="14" borderId="848" xfId="10" applyNumberFormat="1" applyFont="1" applyFill="1" applyBorder="1" applyAlignment="1" applyProtection="1">
      <alignment horizontal="right" vertical="center"/>
      <protection locked="0"/>
    </xf>
    <xf numFmtId="49" fontId="55" fillId="10" borderId="90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93" xfId="10" applyNumberFormat="1" applyFont="1" applyFill="1" applyBorder="1" applyAlignment="1" applyProtection="1">
      <alignment horizontal="left" vertical="center" wrapText="1"/>
      <protection locked="0"/>
    </xf>
    <xf numFmtId="10" fontId="55" fillId="0" borderId="10" xfId="10" applyNumberFormat="1" applyFont="1" applyFill="1" applyBorder="1" applyAlignment="1" applyProtection="1">
      <alignment horizontal="right" vertical="center"/>
      <protection locked="0"/>
    </xf>
    <xf numFmtId="10" fontId="55" fillId="0" borderId="909" xfId="10" applyNumberFormat="1" applyFont="1" applyFill="1" applyBorder="1" applyAlignment="1" applyProtection="1">
      <alignment horizontal="right" vertical="center"/>
      <protection locked="0"/>
    </xf>
    <xf numFmtId="4" fontId="23" fillId="0" borderId="0" xfId="10" applyNumberFormat="1" applyFont="1" applyFill="1" applyBorder="1" applyAlignment="1" applyProtection="1">
      <alignment horizontal="left" vertical="center"/>
      <protection locked="0"/>
    </xf>
    <xf numFmtId="2" fontId="55" fillId="0" borderId="3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1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59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48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08" xfId="10" applyNumberFormat="1" applyFont="1" applyFill="1" applyBorder="1" applyAlignment="1" applyProtection="1">
      <alignment horizontal="center" vertical="center" wrapText="1"/>
      <protection locked="0"/>
    </xf>
    <xf numFmtId="2" fontId="55" fillId="0" borderId="0" xfId="10" applyNumberFormat="1" applyFont="1" applyFill="1" applyBorder="1" applyAlignment="1" applyProtection="1">
      <alignment vertical="center" wrapText="1"/>
      <protection locked="0"/>
    </xf>
    <xf numFmtId="2" fontId="55" fillId="0" borderId="15" xfId="10" applyNumberFormat="1" applyFont="1" applyFill="1" applyBorder="1" applyAlignment="1" applyProtection="1">
      <alignment vertical="center" wrapText="1"/>
      <protection locked="0"/>
    </xf>
    <xf numFmtId="10" fontId="55" fillId="0" borderId="5" xfId="10" applyNumberFormat="1" applyFont="1" applyFill="1" applyBorder="1" applyAlignment="1" applyProtection="1">
      <alignment horizontal="right" vertical="center" wrapText="1"/>
      <protection locked="0"/>
    </xf>
    <xf numFmtId="49" fontId="55" fillId="0" borderId="907" xfId="10" applyNumberFormat="1" applyFont="1" applyFill="1" applyBorder="1" applyAlignment="1" applyProtection="1">
      <alignment horizontal="center" vertical="center" wrapText="1"/>
      <protection locked="0"/>
    </xf>
    <xf numFmtId="49" fontId="23" fillId="15" borderId="88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11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12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93" xfId="10" applyNumberFormat="1" applyFont="1" applyFill="1" applyBorder="1" applyAlignment="1" applyProtection="1">
      <alignment horizontal="center" vertical="center" wrapText="1"/>
      <protection locked="0"/>
    </xf>
    <xf numFmtId="2" fontId="55" fillId="0" borderId="904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913" xfId="10" applyNumberFormat="1" applyFont="1" applyFill="1" applyBorder="1" applyAlignment="1" applyProtection="1">
      <alignment horizontal="right" vertical="center"/>
      <protection locked="0"/>
    </xf>
    <xf numFmtId="10" fontId="55" fillId="0" borderId="914" xfId="10" applyNumberFormat="1" applyFont="1" applyFill="1" applyBorder="1" applyAlignment="1" applyProtection="1">
      <alignment horizontal="right" vertical="center"/>
      <protection locked="0"/>
    </xf>
    <xf numFmtId="49" fontId="55" fillId="10" borderId="915" xfId="10" applyNumberFormat="1" applyFont="1" applyFill="1" applyBorder="1" applyAlignment="1" applyProtection="1">
      <alignment horizontal="center" vertical="center" wrapText="1"/>
      <protection locked="0"/>
    </xf>
    <xf numFmtId="2" fontId="55" fillId="0" borderId="916" xfId="10" applyNumberFormat="1" applyFont="1" applyFill="1" applyBorder="1" applyAlignment="1" applyProtection="1">
      <alignment horizontal="left" vertical="center" wrapText="1"/>
      <protection locked="0"/>
    </xf>
    <xf numFmtId="49" fontId="59" fillId="12" borderId="917" xfId="10" applyNumberFormat="1" applyFont="1" applyFill="1" applyBorder="1" applyAlignment="1" applyProtection="1">
      <alignment horizontal="center" vertical="center" wrapText="1"/>
      <protection locked="0"/>
    </xf>
    <xf numFmtId="3" fontId="55" fillId="0" borderId="921" xfId="10" applyNumberFormat="1" applyFont="1" applyFill="1" applyBorder="1" applyAlignment="1" applyProtection="1">
      <alignment horizontal="right" vertical="center"/>
      <protection locked="0"/>
    </xf>
    <xf numFmtId="3" fontId="55" fillId="0" borderId="922" xfId="10" applyNumberFormat="1" applyFont="1" applyFill="1" applyBorder="1" applyAlignment="1" applyProtection="1">
      <alignment horizontal="right" vertical="center"/>
      <protection locked="0"/>
    </xf>
    <xf numFmtId="10" fontId="55" fillId="0" borderId="921" xfId="10" applyNumberFormat="1" applyFont="1" applyFill="1" applyBorder="1" applyAlignment="1" applyProtection="1">
      <alignment horizontal="right" vertical="center"/>
      <protection locked="0"/>
    </xf>
    <xf numFmtId="49" fontId="55" fillId="10" borderId="92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2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2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26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927" xfId="10" applyNumberFormat="1" applyFont="1" applyFill="1" applyBorder="1" applyAlignment="1" applyProtection="1">
      <alignment horizontal="right" vertical="center"/>
      <protection locked="0"/>
    </xf>
    <xf numFmtId="3" fontId="55" fillId="0" borderId="928" xfId="10" applyNumberFormat="1" applyFont="1" applyFill="1" applyBorder="1" applyAlignment="1" applyProtection="1">
      <alignment horizontal="right" vertical="center"/>
      <protection locked="0"/>
    </xf>
    <xf numFmtId="10" fontId="55" fillId="0" borderId="927" xfId="10" applyNumberFormat="1" applyFont="1" applyFill="1" applyBorder="1" applyAlignment="1" applyProtection="1">
      <alignment horizontal="right" vertical="center"/>
      <protection locked="0"/>
    </xf>
    <xf numFmtId="49" fontId="55" fillId="10" borderId="92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3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3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34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920" xfId="10" applyNumberFormat="1" applyFont="1" applyFill="1" applyBorder="1" applyAlignment="1" applyProtection="1">
      <alignment horizontal="right" vertical="center"/>
      <protection locked="0"/>
    </xf>
    <xf numFmtId="3" fontId="55" fillId="0" borderId="935" xfId="10" applyNumberFormat="1" applyFont="1" applyFill="1" applyBorder="1" applyAlignment="1" applyProtection="1">
      <alignment horizontal="right" vertical="center"/>
      <protection locked="0"/>
    </xf>
    <xf numFmtId="10" fontId="55" fillId="0" borderId="920" xfId="10" applyNumberFormat="1" applyFont="1" applyFill="1" applyBorder="1" applyAlignment="1" applyProtection="1">
      <alignment horizontal="right" vertical="center"/>
      <protection locked="0"/>
    </xf>
    <xf numFmtId="3" fontId="55" fillId="0" borderId="937" xfId="10" applyNumberFormat="1" applyFont="1" applyFill="1" applyBorder="1" applyAlignment="1" applyProtection="1">
      <alignment vertical="center"/>
      <protection locked="0"/>
    </xf>
    <xf numFmtId="3" fontId="61" fillId="0" borderId="939" xfId="10" applyNumberFormat="1" applyFont="1" applyFill="1" applyBorder="1" applyAlignment="1" applyProtection="1">
      <alignment vertical="center"/>
      <protection locked="0"/>
    </xf>
    <xf numFmtId="10" fontId="61" fillId="0" borderId="921" xfId="10" applyNumberFormat="1" applyFont="1" applyFill="1" applyBorder="1" applyAlignment="1" applyProtection="1">
      <alignment horizontal="right" vertical="center"/>
      <protection locked="0"/>
    </xf>
    <xf numFmtId="49" fontId="55" fillId="10" borderId="94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41" xfId="10" applyNumberFormat="1" applyFont="1" applyFill="1" applyBorder="1" applyAlignment="1" applyProtection="1">
      <alignment horizontal="left" vertical="center" wrapText="1"/>
      <protection locked="0"/>
    </xf>
    <xf numFmtId="3" fontId="61" fillId="0" borderId="943" xfId="10" applyNumberFormat="1" applyFont="1" applyFill="1" applyBorder="1" applyAlignment="1" applyProtection="1">
      <alignment vertical="center"/>
      <protection locked="0"/>
    </xf>
    <xf numFmtId="10" fontId="61" fillId="0" borderId="944" xfId="10" applyNumberFormat="1" applyFont="1" applyFill="1" applyBorder="1" applyAlignment="1" applyProtection="1">
      <alignment horizontal="right" vertical="center"/>
      <protection locked="0"/>
    </xf>
    <xf numFmtId="3" fontId="55" fillId="0" borderId="943" xfId="10" applyNumberFormat="1" applyFont="1" applyFill="1" applyBorder="1" applyAlignment="1" applyProtection="1">
      <alignment vertical="center"/>
      <protection locked="0"/>
    </xf>
    <xf numFmtId="10" fontId="55" fillId="0" borderId="944" xfId="10" applyNumberFormat="1" applyFont="1" applyFill="1" applyBorder="1" applyAlignment="1" applyProtection="1">
      <alignment horizontal="right" vertical="center"/>
      <protection locked="0"/>
    </xf>
    <xf numFmtId="49" fontId="55" fillId="10" borderId="94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46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4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48" xfId="1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10" applyNumberFormat="1" applyFont="1" applyFill="1" applyBorder="1" applyAlignment="1" applyProtection="1">
      <alignment vertical="center"/>
      <protection locked="0"/>
    </xf>
    <xf numFmtId="0" fontId="55" fillId="0" borderId="15" xfId="10" applyNumberFormat="1" applyFont="1" applyFill="1" applyBorder="1" applyAlignment="1" applyProtection="1">
      <alignment vertical="center"/>
      <protection locked="0"/>
    </xf>
    <xf numFmtId="3" fontId="55" fillId="0" borderId="950" xfId="10" applyNumberFormat="1" applyFont="1" applyFill="1" applyBorder="1" applyAlignment="1" applyProtection="1">
      <alignment vertical="center"/>
      <protection locked="0"/>
    </xf>
    <xf numFmtId="10" fontId="55" fillId="0" borderId="951" xfId="10" applyNumberFormat="1" applyFont="1" applyFill="1" applyBorder="1" applyAlignment="1" applyProtection="1">
      <alignment horizontal="right" vertical="center"/>
      <protection locked="0"/>
    </xf>
    <xf numFmtId="49" fontId="55" fillId="10" borderId="95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53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55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5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57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5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59" xfId="10" applyNumberFormat="1" applyFont="1" applyFill="1" applyBorder="1" applyAlignment="1" applyProtection="1">
      <alignment horizontal="left" vertical="center" wrapText="1"/>
      <protection locked="0"/>
    </xf>
    <xf numFmtId="3" fontId="59" fillId="0" borderId="950" xfId="10" applyNumberFormat="1" applyFont="1" applyFill="1" applyBorder="1" applyAlignment="1" applyProtection="1">
      <alignment horizontal="right" vertical="center"/>
      <protection locked="0"/>
    </xf>
    <xf numFmtId="10" fontId="59" fillId="0" borderId="951" xfId="10" applyNumberFormat="1" applyFont="1" applyFill="1" applyBorder="1" applyAlignment="1" applyProtection="1">
      <alignment horizontal="right" vertical="center"/>
      <protection locked="0"/>
    </xf>
    <xf numFmtId="3" fontId="55" fillId="0" borderId="950" xfId="10" applyNumberFormat="1" applyFont="1" applyFill="1" applyBorder="1" applyAlignment="1" applyProtection="1">
      <alignment horizontal="right" vertical="center"/>
      <protection locked="0"/>
    </xf>
    <xf numFmtId="0" fontId="23" fillId="0" borderId="960" xfId="0" applyFont="1" applyBorder="1" applyAlignment="1">
      <alignment horizontal="left" vertical="center" wrapText="1"/>
    </xf>
    <xf numFmtId="3" fontId="55" fillId="0" borderId="943" xfId="10" applyNumberFormat="1" applyFont="1" applyFill="1" applyBorder="1" applyAlignment="1" applyProtection="1">
      <alignment horizontal="right" vertical="center"/>
      <protection locked="0"/>
    </xf>
    <xf numFmtId="3" fontId="55" fillId="0" borderId="937" xfId="10" applyNumberFormat="1" applyFont="1" applyFill="1" applyBorder="1" applyAlignment="1" applyProtection="1">
      <alignment horizontal="right" vertical="center"/>
      <protection locked="0"/>
    </xf>
    <xf numFmtId="49" fontId="55" fillId="10" borderId="962" xfId="10" applyNumberFormat="1" applyFont="1" applyFill="1" applyBorder="1" applyAlignment="1" applyProtection="1">
      <alignment horizontal="left" vertical="center" wrapText="1"/>
      <protection locked="0"/>
    </xf>
    <xf numFmtId="2" fontId="55" fillId="0" borderId="96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963" xfId="10" applyNumberFormat="1" applyFont="1" applyFill="1" applyBorder="1" applyAlignment="1" applyProtection="1">
      <alignment horizontal="right" vertical="center"/>
      <protection locked="0"/>
    </xf>
    <xf numFmtId="10" fontId="55" fillId="0" borderId="964" xfId="10" applyNumberFormat="1" applyFont="1" applyFill="1" applyBorder="1" applyAlignment="1" applyProtection="1">
      <alignment horizontal="right" vertical="center"/>
      <protection locked="0"/>
    </xf>
    <xf numFmtId="49" fontId="55" fillId="10" borderId="96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61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966" xfId="10" applyNumberFormat="1" applyFont="1" applyFill="1" applyBorder="1" applyAlignment="1" applyProtection="1">
      <alignment horizontal="right" vertical="center"/>
      <protection locked="0"/>
    </xf>
    <xf numFmtId="10" fontId="55" fillId="0" borderId="967" xfId="10" applyNumberFormat="1" applyFont="1" applyFill="1" applyBorder="1" applyAlignment="1" applyProtection="1">
      <alignment horizontal="right" vertical="center"/>
      <protection locked="0"/>
    </xf>
    <xf numFmtId="49" fontId="55" fillId="10" borderId="968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969" xfId="10" applyNumberFormat="1" applyFont="1" applyFill="1" applyBorder="1" applyAlignment="1" applyProtection="1">
      <alignment horizontal="right" vertical="center"/>
      <protection locked="0"/>
    </xf>
    <xf numFmtId="10" fontId="55" fillId="0" borderId="970" xfId="10" applyNumberFormat="1" applyFont="1" applyFill="1" applyBorder="1" applyAlignment="1" applyProtection="1">
      <alignment horizontal="right" vertical="center"/>
      <protection locked="0"/>
    </xf>
    <xf numFmtId="49" fontId="55" fillId="10" borderId="97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7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973" xfId="10" applyNumberFormat="1" applyFont="1" applyFill="1" applyBorder="1" applyAlignment="1" applyProtection="1">
      <alignment horizontal="right" vertical="center"/>
      <protection locked="0"/>
    </xf>
    <xf numFmtId="10" fontId="55" fillId="0" borderId="974" xfId="10" applyNumberFormat="1" applyFont="1" applyFill="1" applyBorder="1" applyAlignment="1" applyProtection="1">
      <alignment horizontal="right" vertical="center"/>
      <protection locked="0"/>
    </xf>
    <xf numFmtId="49" fontId="55" fillId="10" borderId="975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976" xfId="10" applyNumberFormat="1" applyFont="1" applyFill="1" applyBorder="1" applyAlignment="1" applyProtection="1">
      <alignment horizontal="right" vertical="center"/>
      <protection locked="0"/>
    </xf>
    <xf numFmtId="10" fontId="55" fillId="0" borderId="977" xfId="10" applyNumberFormat="1" applyFont="1" applyFill="1" applyBorder="1" applyAlignment="1" applyProtection="1">
      <alignment horizontal="right" vertical="center"/>
      <protection locked="0"/>
    </xf>
    <xf numFmtId="49" fontId="55" fillId="10" borderId="97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79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980" xfId="10" applyNumberFormat="1" applyFont="1" applyFill="1" applyBorder="1" applyAlignment="1" applyProtection="1">
      <alignment horizontal="right" vertical="center"/>
      <protection locked="0"/>
    </xf>
    <xf numFmtId="49" fontId="55" fillId="10" borderId="98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82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83" xfId="10" applyNumberFormat="1" applyFont="1" applyFill="1" applyBorder="1" applyAlignment="1" applyProtection="1">
      <alignment horizontal="center" vertical="center" wrapText="1"/>
      <protection locked="0"/>
    </xf>
    <xf numFmtId="3" fontId="59" fillId="0" borderId="987" xfId="10" applyNumberFormat="1" applyFont="1" applyFill="1" applyBorder="1" applyAlignment="1" applyProtection="1">
      <alignment horizontal="right" vertical="center"/>
      <protection locked="0"/>
    </xf>
    <xf numFmtId="10" fontId="59" fillId="0" borderId="988" xfId="10" applyNumberFormat="1" applyFont="1" applyFill="1" applyBorder="1" applyAlignment="1" applyProtection="1">
      <alignment horizontal="right" vertical="center"/>
      <protection locked="0"/>
    </xf>
    <xf numFmtId="10" fontId="55" fillId="0" borderId="989" xfId="10" applyNumberFormat="1" applyFont="1" applyFill="1" applyBorder="1" applyAlignment="1" applyProtection="1">
      <alignment horizontal="right" vertical="center"/>
      <protection locked="0"/>
    </xf>
    <xf numFmtId="3" fontId="55" fillId="0" borderId="987" xfId="10" applyNumberFormat="1" applyFont="1" applyFill="1" applyBorder="1" applyAlignment="1" applyProtection="1">
      <alignment horizontal="right" vertical="center"/>
      <protection locked="0"/>
    </xf>
    <xf numFmtId="10" fontId="55" fillId="0" borderId="988" xfId="10" applyNumberFormat="1" applyFont="1" applyFill="1" applyBorder="1" applyAlignment="1" applyProtection="1">
      <alignment horizontal="right" vertical="center"/>
      <protection locked="0"/>
    </xf>
    <xf numFmtId="49" fontId="55" fillId="10" borderId="99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93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94" xfId="10" applyNumberFormat="1" applyFont="1" applyFill="1" applyBorder="1" applyAlignment="1" applyProtection="1">
      <alignment vertical="center" wrapText="1"/>
      <protection locked="0"/>
    </xf>
    <xf numFmtId="49" fontId="55" fillId="10" borderId="995" xfId="10" applyNumberFormat="1" applyFont="1" applyFill="1" applyBorder="1" applyAlignment="1" applyProtection="1">
      <alignment vertical="center" wrapText="1"/>
      <protection locked="0"/>
    </xf>
    <xf numFmtId="49" fontId="55" fillId="10" borderId="973" xfId="10" applyNumberFormat="1" applyFont="1" applyFill="1" applyBorder="1" applyAlignment="1" applyProtection="1">
      <alignment vertical="center" wrapText="1"/>
      <protection locked="0"/>
    </xf>
    <xf numFmtId="10" fontId="55" fillId="10" borderId="974" xfId="10" applyNumberFormat="1" applyFont="1" applyFill="1" applyBorder="1" applyAlignment="1" applyProtection="1">
      <alignment horizontal="right" vertical="center" wrapText="1"/>
      <protection locked="0"/>
    </xf>
    <xf numFmtId="3" fontId="59" fillId="2" borderId="14" xfId="10" applyNumberFormat="1" applyFont="1" applyFill="1" applyBorder="1" applyAlignment="1" applyProtection="1">
      <alignment horizontal="right" vertical="center"/>
      <protection locked="0"/>
    </xf>
    <xf numFmtId="10" fontId="59" fillId="2" borderId="18" xfId="10" applyNumberFormat="1" applyFont="1" applyFill="1" applyBorder="1" applyAlignment="1" applyProtection="1">
      <alignment horizontal="right" vertical="center"/>
      <protection locked="0"/>
    </xf>
    <xf numFmtId="3" fontId="55" fillId="0" borderId="996" xfId="10" applyNumberFormat="1" applyFont="1" applyFill="1" applyBorder="1" applyAlignment="1" applyProtection="1">
      <alignment horizontal="right" vertical="center"/>
      <protection locked="0"/>
    </xf>
    <xf numFmtId="10" fontId="55" fillId="0" borderId="997" xfId="10" applyNumberFormat="1" applyFont="1" applyFill="1" applyBorder="1" applyAlignment="1" applyProtection="1">
      <alignment horizontal="right" vertical="center"/>
      <protection locked="0"/>
    </xf>
    <xf numFmtId="49" fontId="55" fillId="10" borderId="961" xfId="10" applyNumberFormat="1" applyFont="1" applyFill="1" applyBorder="1" applyAlignment="1" applyProtection="1">
      <alignment vertical="center" wrapText="1"/>
      <protection locked="0"/>
    </xf>
    <xf numFmtId="49" fontId="55" fillId="10" borderId="998" xfId="10" applyNumberFormat="1" applyFont="1" applyFill="1" applyBorder="1" applyAlignment="1" applyProtection="1">
      <alignment vertical="center" wrapText="1"/>
      <protection locked="0"/>
    </xf>
    <xf numFmtId="10" fontId="55" fillId="10" borderId="932" xfId="10" applyNumberFormat="1" applyFont="1" applyFill="1" applyBorder="1" applyAlignment="1" applyProtection="1">
      <alignment horizontal="right" vertical="center" wrapText="1"/>
      <protection locked="0"/>
    </xf>
    <xf numFmtId="3" fontId="61" fillId="0" borderId="943" xfId="10" applyNumberFormat="1" applyFont="1" applyFill="1" applyBorder="1" applyAlignment="1" applyProtection="1">
      <alignment horizontal="right" vertical="center"/>
      <protection locked="0"/>
    </xf>
    <xf numFmtId="10" fontId="61" fillId="0" borderId="964" xfId="10" applyNumberFormat="1" applyFont="1" applyFill="1" applyBorder="1" applyAlignment="1" applyProtection="1">
      <alignment horizontal="right" vertical="center"/>
      <protection locked="0"/>
    </xf>
    <xf numFmtId="49" fontId="55" fillId="10" borderId="99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0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0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0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0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03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004" xfId="10" applyNumberFormat="1" applyFont="1" applyFill="1" applyBorder="1" applyAlignment="1" applyProtection="1">
      <alignment horizontal="right" vertical="center"/>
      <protection locked="0"/>
    </xf>
    <xf numFmtId="49" fontId="59" fillId="11" borderId="9" xfId="10" applyNumberFormat="1" applyFont="1" applyFill="1" applyBorder="1" applyAlignment="1" applyProtection="1">
      <alignment horizontal="center" vertical="center" wrapText="1"/>
      <protection locked="0"/>
    </xf>
    <xf numFmtId="49" fontId="59" fillId="11" borderId="17" xfId="10" applyNumberFormat="1" applyFont="1" applyFill="1" applyBorder="1" applyAlignment="1" applyProtection="1">
      <alignment horizontal="center" vertical="center" wrapText="1"/>
      <protection locked="0"/>
    </xf>
    <xf numFmtId="49" fontId="59" fillId="11" borderId="108" xfId="10" applyNumberFormat="1" applyFont="1" applyFill="1" applyBorder="1" applyAlignment="1" applyProtection="1">
      <alignment horizontal="center" vertical="center" wrapText="1"/>
      <protection locked="0"/>
    </xf>
    <xf numFmtId="49" fontId="59" fillId="11" borderId="109" xfId="10" applyNumberFormat="1" applyFont="1" applyFill="1" applyBorder="1" applyAlignment="1" applyProtection="1">
      <alignment horizontal="left" vertical="center" wrapText="1"/>
      <protection locked="0"/>
    </xf>
    <xf numFmtId="3" fontId="59" fillId="3" borderId="1005" xfId="10" applyNumberFormat="1" applyFont="1" applyFill="1" applyBorder="1" applyAlignment="1" applyProtection="1">
      <alignment horizontal="right" vertical="center"/>
      <protection locked="0"/>
    </xf>
    <xf numFmtId="3" fontId="59" fillId="3" borderId="4" xfId="10" applyNumberFormat="1" applyFont="1" applyFill="1" applyBorder="1" applyAlignment="1" applyProtection="1">
      <alignment horizontal="right" vertical="center"/>
      <protection locked="0"/>
    </xf>
    <xf numFmtId="10" fontId="59" fillId="3" borderId="10" xfId="10" applyNumberFormat="1" applyFont="1" applyFill="1" applyBorder="1" applyAlignment="1" applyProtection="1">
      <alignment horizontal="right" vertical="center"/>
      <protection locked="0"/>
    </xf>
    <xf numFmtId="3" fontId="60" fillId="14" borderId="9" xfId="10" applyNumberFormat="1" applyFont="1" applyFill="1" applyBorder="1" applyAlignment="1" applyProtection="1">
      <alignment horizontal="right" vertical="center"/>
      <protection locked="0"/>
    </xf>
    <xf numFmtId="3" fontId="59" fillId="0" borderId="797" xfId="10" applyNumberFormat="1" applyFont="1" applyFill="1" applyBorder="1" applyAlignment="1" applyProtection="1">
      <alignment horizontal="right" vertical="center"/>
      <protection locked="0"/>
    </xf>
    <xf numFmtId="3" fontId="55" fillId="0" borderId="1006" xfId="10" applyNumberFormat="1" applyFont="1" applyFill="1" applyBorder="1" applyAlignment="1" applyProtection="1">
      <alignment horizontal="right" vertical="center"/>
      <protection locked="0"/>
    </xf>
    <xf numFmtId="3" fontId="55" fillId="0" borderId="939" xfId="10" applyNumberFormat="1" applyFont="1" applyFill="1" applyBorder="1" applyAlignment="1" applyProtection="1">
      <alignment horizontal="right" vertical="center"/>
      <protection locked="0"/>
    </xf>
    <xf numFmtId="3" fontId="55" fillId="0" borderId="1007" xfId="10" applyNumberFormat="1" applyFont="1" applyFill="1" applyBorder="1" applyAlignment="1" applyProtection="1">
      <alignment horizontal="right" vertical="center"/>
      <protection locked="0"/>
    </xf>
    <xf numFmtId="3" fontId="55" fillId="0" borderId="1008" xfId="10" applyNumberFormat="1" applyFont="1" applyFill="1" applyBorder="1" applyAlignment="1" applyProtection="1">
      <alignment horizontal="right" vertical="center"/>
      <protection locked="0"/>
    </xf>
    <xf numFmtId="10" fontId="55" fillId="0" borderId="1009" xfId="10" applyNumberFormat="1" applyFont="1" applyFill="1" applyBorder="1" applyAlignment="1" applyProtection="1">
      <alignment horizontal="right" vertical="center"/>
      <protection locked="0"/>
    </xf>
    <xf numFmtId="3" fontId="55" fillId="6" borderId="748" xfId="10" applyNumberFormat="1" applyFont="1" applyFill="1" applyBorder="1" applyAlignment="1" applyProtection="1">
      <alignment horizontal="right" vertical="center"/>
      <protection locked="0"/>
    </xf>
    <xf numFmtId="3" fontId="55" fillId="6" borderId="749" xfId="10" applyNumberFormat="1" applyFont="1" applyFill="1" applyBorder="1" applyAlignment="1" applyProtection="1">
      <alignment horizontal="right" vertical="center"/>
      <protection locked="0"/>
    </xf>
    <xf numFmtId="10" fontId="55" fillId="6" borderId="1010" xfId="10" applyNumberFormat="1" applyFont="1" applyFill="1" applyBorder="1" applyAlignment="1" applyProtection="1">
      <alignment horizontal="right" vertical="center"/>
      <protection locked="0"/>
    </xf>
    <xf numFmtId="3" fontId="55" fillId="0" borderId="1011" xfId="10" applyNumberFormat="1" applyFont="1" applyFill="1" applyBorder="1" applyAlignment="1" applyProtection="1">
      <alignment horizontal="right" vertical="center"/>
      <protection locked="0"/>
    </xf>
    <xf numFmtId="3" fontId="55" fillId="0" borderId="1012" xfId="10" applyNumberFormat="1" applyFont="1" applyFill="1" applyBorder="1" applyAlignment="1" applyProtection="1">
      <alignment horizontal="right" vertical="center"/>
      <protection locked="0"/>
    </xf>
    <xf numFmtId="10" fontId="55" fillId="0" borderId="1013" xfId="10" applyNumberFormat="1" applyFont="1" applyFill="1" applyBorder="1" applyAlignment="1" applyProtection="1">
      <alignment horizontal="right" vertical="center"/>
      <protection locked="0"/>
    </xf>
    <xf numFmtId="3" fontId="61" fillId="0" borderId="1011" xfId="10" applyNumberFormat="1" applyFont="1" applyFill="1" applyBorder="1" applyAlignment="1" applyProtection="1">
      <alignment horizontal="right" vertical="center"/>
      <protection locked="0"/>
    </xf>
    <xf numFmtId="3" fontId="61" fillId="0" borderId="1012" xfId="10" applyNumberFormat="1" applyFont="1" applyFill="1" applyBorder="1" applyAlignment="1" applyProtection="1">
      <alignment horizontal="right" vertical="center"/>
      <protection locked="0"/>
    </xf>
    <xf numFmtId="10" fontId="61" fillId="0" borderId="1013" xfId="10" applyNumberFormat="1" applyFont="1" applyFill="1" applyBorder="1" applyAlignment="1" applyProtection="1">
      <alignment horizontal="right" vertical="center"/>
      <protection locked="0"/>
    </xf>
    <xf numFmtId="49" fontId="55" fillId="10" borderId="101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55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999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1000" xfId="10" applyNumberFormat="1" applyFont="1" applyFill="1" applyBorder="1" applyAlignment="1" applyProtection="1">
      <alignment horizontal="left" vertical="center" wrapText="1"/>
      <protection locked="0"/>
    </xf>
    <xf numFmtId="10" fontId="55" fillId="0" borderId="765" xfId="10" applyNumberFormat="1" applyFont="1" applyFill="1" applyBorder="1" applyAlignment="1" applyProtection="1">
      <alignment horizontal="right" vertical="center"/>
      <protection locked="0"/>
    </xf>
    <xf numFmtId="10" fontId="55" fillId="0" borderId="1010" xfId="10" applyNumberFormat="1" applyFont="1" applyFill="1" applyBorder="1" applyAlignment="1" applyProtection="1">
      <alignment horizontal="right" vertical="center"/>
      <protection locked="0"/>
    </xf>
    <xf numFmtId="3" fontId="60" fillId="14" borderId="1015" xfId="10" applyNumberFormat="1" applyFont="1" applyFill="1" applyBorder="1" applyAlignment="1" applyProtection="1">
      <alignment horizontal="right" vertical="center"/>
      <protection locked="0"/>
    </xf>
    <xf numFmtId="3" fontId="60" fillId="14" borderId="1016" xfId="10" applyNumberFormat="1" applyFont="1" applyFill="1" applyBorder="1" applyAlignment="1" applyProtection="1">
      <alignment horizontal="right" vertical="center"/>
      <protection locked="0"/>
    </xf>
    <xf numFmtId="10" fontId="60" fillId="14" borderId="1017" xfId="10" applyNumberFormat="1" applyFont="1" applyFill="1" applyBorder="1" applyAlignment="1" applyProtection="1">
      <alignment horizontal="right" vertical="center"/>
      <protection locked="0"/>
    </xf>
    <xf numFmtId="49" fontId="55" fillId="0" borderId="940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941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763" xfId="10" applyNumberFormat="1" applyFont="1" applyFill="1" applyBorder="1" applyAlignment="1" applyProtection="1">
      <alignment horizontal="right" vertical="center"/>
      <protection locked="0"/>
    </xf>
    <xf numFmtId="3" fontId="55" fillId="0" borderId="764" xfId="10" applyNumberFormat="1" applyFont="1" applyFill="1" applyBorder="1" applyAlignment="1" applyProtection="1">
      <alignment horizontal="right" vertical="center"/>
      <protection locked="0"/>
    </xf>
    <xf numFmtId="49" fontId="55" fillId="0" borderId="961" xfId="10" applyNumberFormat="1" applyFont="1" applyFill="1" applyBorder="1" applyAlignment="1" applyProtection="1">
      <alignment horizontal="left" vertical="center" wrapText="1"/>
      <protection locked="0"/>
    </xf>
    <xf numFmtId="3" fontId="61" fillId="0" borderId="1007" xfId="10" applyNumberFormat="1" applyFont="1" applyFill="1" applyBorder="1" applyAlignment="1" applyProtection="1">
      <alignment horizontal="right" vertical="center"/>
      <protection locked="0"/>
    </xf>
    <xf numFmtId="3" fontId="61" fillId="0" borderId="1008" xfId="10" applyNumberFormat="1" applyFont="1" applyFill="1" applyBorder="1" applyAlignment="1" applyProtection="1">
      <alignment horizontal="right" vertical="center"/>
      <protection locked="0"/>
    </xf>
    <xf numFmtId="10" fontId="61" fillId="0" borderId="1009" xfId="10" applyNumberFormat="1" applyFont="1" applyFill="1" applyBorder="1" applyAlignment="1" applyProtection="1">
      <alignment horizontal="right" vertical="center"/>
      <protection locked="0"/>
    </xf>
    <xf numFmtId="3" fontId="61" fillId="0" borderId="939" xfId="10" applyNumberFormat="1" applyFont="1" applyFill="1" applyBorder="1" applyAlignment="1" applyProtection="1">
      <alignment horizontal="right" vertical="center"/>
      <protection locked="0"/>
    </xf>
    <xf numFmtId="3" fontId="55" fillId="0" borderId="998" xfId="10" applyNumberFormat="1" applyFont="1" applyFill="1" applyBorder="1" applyAlignment="1" applyProtection="1">
      <alignment horizontal="right" vertical="center"/>
      <protection locked="0"/>
    </xf>
    <xf numFmtId="10" fontId="55" fillId="0" borderId="932" xfId="10" applyNumberFormat="1" applyFont="1" applyFill="1" applyBorder="1" applyAlignment="1" applyProtection="1">
      <alignment horizontal="right" vertical="center"/>
      <protection locked="0"/>
    </xf>
    <xf numFmtId="3" fontId="59" fillId="0" borderId="939" xfId="10" applyNumberFormat="1" applyFont="1" applyFill="1" applyBorder="1" applyAlignment="1" applyProtection="1">
      <alignment horizontal="right" vertical="center"/>
      <protection locked="0"/>
    </xf>
    <xf numFmtId="10" fontId="59" fillId="0" borderId="1021" xfId="10" applyNumberFormat="1" applyFont="1" applyFill="1" applyBorder="1" applyAlignment="1" applyProtection="1">
      <alignment horizontal="right" vertical="center"/>
      <protection locked="0"/>
    </xf>
    <xf numFmtId="10" fontId="55" fillId="0" borderId="1021" xfId="10" applyNumberFormat="1" applyFont="1" applyFill="1" applyBorder="1" applyAlignment="1" applyProtection="1">
      <alignment horizontal="right" vertical="center"/>
      <protection locked="0"/>
    </xf>
    <xf numFmtId="49" fontId="55" fillId="10" borderId="102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23" xfId="10" applyNumberFormat="1" applyFont="1" applyFill="1" applyBorder="1" applyAlignment="1" applyProtection="1">
      <alignment horizontal="left" vertical="center" wrapText="1"/>
      <protection locked="0"/>
    </xf>
    <xf numFmtId="10" fontId="55" fillId="0" borderId="1024" xfId="10" applyNumberFormat="1" applyFont="1" applyFill="1" applyBorder="1" applyAlignment="1" applyProtection="1">
      <alignment horizontal="right" vertical="center"/>
      <protection locked="0"/>
    </xf>
    <xf numFmtId="3" fontId="59" fillId="2" borderId="15" xfId="10" applyNumberFormat="1" applyFont="1" applyFill="1" applyBorder="1" applyAlignment="1" applyProtection="1">
      <alignment horizontal="right" vertical="center"/>
      <protection locked="0"/>
    </xf>
    <xf numFmtId="10" fontId="59" fillId="2" borderId="5" xfId="10" applyNumberFormat="1" applyFont="1" applyFill="1" applyBorder="1" applyAlignment="1" applyProtection="1">
      <alignment horizontal="right" vertical="center"/>
      <protection locked="0"/>
    </xf>
    <xf numFmtId="49" fontId="55" fillId="10" borderId="102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2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28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029" xfId="10" applyNumberFormat="1" applyFont="1" applyFill="1" applyBorder="1" applyAlignment="1" applyProtection="1">
      <alignment horizontal="right" vertical="center"/>
      <protection locked="0"/>
    </xf>
    <xf numFmtId="10" fontId="55" fillId="0" borderId="1030" xfId="10" applyNumberFormat="1" applyFont="1" applyFill="1" applyBorder="1" applyAlignment="1" applyProtection="1">
      <alignment horizontal="right" vertical="center"/>
      <protection locked="0"/>
    </xf>
    <xf numFmtId="49" fontId="55" fillId="10" borderId="1031" xfId="10" applyNumberFormat="1" applyFont="1" applyFill="1" applyBorder="1" applyAlignment="1" applyProtection="1">
      <alignment horizontal="center" vertical="center" wrapText="1"/>
      <protection locked="0"/>
    </xf>
    <xf numFmtId="49" fontId="23" fillId="0" borderId="1028" xfId="0" applyNumberFormat="1" applyFont="1" applyBorder="1" applyAlignment="1">
      <alignment vertical="center" wrapText="1"/>
    </xf>
    <xf numFmtId="49" fontId="55" fillId="10" borderId="1025" xfId="10" applyNumberFormat="1" applyFont="1" applyFill="1" applyBorder="1" applyAlignment="1" applyProtection="1">
      <alignment horizontal="center" vertical="center" wrapText="1"/>
      <protection locked="0"/>
    </xf>
    <xf numFmtId="49" fontId="23" fillId="0" borderId="1023" xfId="0" applyNumberFormat="1" applyFont="1" applyBorder="1" applyAlignment="1">
      <alignment vertical="center" wrapText="1"/>
    </xf>
    <xf numFmtId="49" fontId="23" fillId="0" borderId="290" xfId="0" applyNumberFormat="1" applyFont="1" applyBorder="1" applyAlignment="1">
      <alignment vertical="center" wrapText="1"/>
    </xf>
    <xf numFmtId="49" fontId="55" fillId="10" borderId="1032" xfId="10" applyNumberFormat="1" applyFont="1" applyFill="1" applyBorder="1" applyAlignment="1" applyProtection="1">
      <alignment horizontal="center" vertical="center" wrapText="1"/>
      <protection locked="0"/>
    </xf>
    <xf numFmtId="49" fontId="23" fillId="0" borderId="1033" xfId="0" applyNumberFormat="1" applyFont="1" applyBorder="1" applyAlignment="1">
      <alignment vertical="center" wrapText="1"/>
    </xf>
    <xf numFmtId="10" fontId="55" fillId="0" borderId="1034" xfId="10" applyNumberFormat="1" applyFont="1" applyFill="1" applyBorder="1" applyAlignment="1" applyProtection="1">
      <alignment horizontal="right" vertical="center"/>
      <protection locked="0"/>
    </xf>
    <xf numFmtId="49" fontId="55" fillId="10" borderId="1035" xfId="10" applyNumberFormat="1" applyFont="1" applyFill="1" applyBorder="1" applyAlignment="1" applyProtection="1">
      <alignment horizontal="center" vertical="center" wrapText="1"/>
      <protection locked="0"/>
    </xf>
    <xf numFmtId="49" fontId="23" fillId="0" borderId="1036" xfId="0" applyNumberFormat="1" applyFont="1" applyBorder="1" applyAlignment="1">
      <alignment vertical="center" wrapText="1"/>
    </xf>
    <xf numFmtId="3" fontId="55" fillId="0" borderId="1037" xfId="10" applyNumberFormat="1" applyFont="1" applyFill="1" applyBorder="1" applyAlignment="1" applyProtection="1">
      <alignment horizontal="right" vertical="center"/>
      <protection locked="0"/>
    </xf>
    <xf numFmtId="10" fontId="55" fillId="0" borderId="1038" xfId="10" applyNumberFormat="1" applyFont="1" applyFill="1" applyBorder="1" applyAlignment="1" applyProtection="1">
      <alignment horizontal="right" vertical="center"/>
      <protection locked="0"/>
    </xf>
    <xf numFmtId="49" fontId="23" fillId="0" borderId="692" xfId="0" applyNumberFormat="1" applyFont="1" applyBorder="1" applyAlignment="1">
      <alignment vertical="center" wrapText="1"/>
    </xf>
    <xf numFmtId="3" fontId="23" fillId="6" borderId="1037" xfId="10" applyNumberFormat="1" applyFont="1" applyFill="1" applyBorder="1" applyAlignment="1" applyProtection="1">
      <alignment horizontal="right" vertical="center"/>
      <protection locked="0"/>
    </xf>
    <xf numFmtId="10" fontId="23" fillId="6" borderId="1038" xfId="10" applyNumberFormat="1" applyFont="1" applyFill="1" applyBorder="1" applyAlignment="1" applyProtection="1">
      <alignment horizontal="right" vertical="center"/>
      <protection locked="0"/>
    </xf>
    <xf numFmtId="49" fontId="55" fillId="10" borderId="1039" xfId="10" applyNumberFormat="1" applyFont="1" applyFill="1" applyBorder="1" applyAlignment="1" applyProtection="1">
      <alignment horizontal="center" vertical="center" wrapText="1"/>
      <protection locked="0"/>
    </xf>
    <xf numFmtId="49" fontId="23" fillId="0" borderId="545" xfId="0" applyNumberFormat="1" applyFont="1" applyBorder="1" applyAlignment="1">
      <alignment vertical="center" wrapText="1"/>
    </xf>
    <xf numFmtId="3" fontId="55" fillId="0" borderId="1041" xfId="10" applyNumberFormat="1" applyFont="1" applyFill="1" applyBorder="1" applyAlignment="1" applyProtection="1">
      <alignment horizontal="right" vertical="center"/>
      <protection locked="0"/>
    </xf>
    <xf numFmtId="10" fontId="55" fillId="0" borderId="1042" xfId="10" applyNumberFormat="1" applyFont="1" applyFill="1" applyBorder="1" applyAlignment="1" applyProtection="1">
      <alignment horizontal="right" vertical="center"/>
      <protection locked="0"/>
    </xf>
    <xf numFmtId="49" fontId="55" fillId="0" borderId="1043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104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4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45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4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47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048" xfId="10" applyNumberFormat="1" applyFont="1" applyFill="1" applyBorder="1" applyAlignment="1" applyProtection="1">
      <alignment horizontal="right" vertical="center"/>
      <protection locked="0"/>
    </xf>
    <xf numFmtId="49" fontId="55" fillId="10" borderId="1049" xfId="10" applyNumberFormat="1" applyFont="1" applyFill="1" applyBorder="1" applyAlignment="1" applyProtection="1">
      <alignment vertical="center" wrapText="1"/>
      <protection locked="0"/>
    </xf>
    <xf numFmtId="49" fontId="55" fillId="10" borderId="1050" xfId="10" applyNumberFormat="1" applyFont="1" applyFill="1" applyBorder="1" applyAlignment="1" applyProtection="1">
      <alignment vertical="center" wrapText="1"/>
      <protection locked="0"/>
    </xf>
    <xf numFmtId="49" fontId="55" fillId="10" borderId="1041" xfId="10" applyNumberFormat="1" applyFont="1" applyFill="1" applyBorder="1" applyAlignment="1" applyProtection="1">
      <alignment vertical="center" wrapText="1"/>
      <protection locked="0"/>
    </xf>
    <xf numFmtId="10" fontId="55" fillId="10" borderId="1042" xfId="10" applyNumberFormat="1" applyFont="1" applyFill="1" applyBorder="1" applyAlignment="1" applyProtection="1">
      <alignment horizontal="right" vertical="center" wrapText="1"/>
      <protection locked="0"/>
    </xf>
    <xf numFmtId="49" fontId="55" fillId="10" borderId="105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52" xfId="10" applyNumberFormat="1" applyFont="1" applyFill="1" applyBorder="1" applyAlignment="1" applyProtection="1">
      <alignment horizontal="left" vertical="center" wrapText="1"/>
      <protection locked="0"/>
    </xf>
    <xf numFmtId="10" fontId="55" fillId="0" borderId="1053" xfId="10" applyNumberFormat="1" applyFont="1" applyFill="1" applyBorder="1" applyAlignment="1" applyProtection="1">
      <alignment horizontal="right" vertical="center"/>
      <protection locked="0"/>
    </xf>
    <xf numFmtId="3" fontId="59" fillId="0" borderId="1041" xfId="10" applyNumberFormat="1" applyFont="1" applyFill="1" applyBorder="1" applyAlignment="1" applyProtection="1">
      <alignment horizontal="right" vertical="center"/>
      <protection locked="0"/>
    </xf>
    <xf numFmtId="10" fontId="59" fillId="0" borderId="1042" xfId="10" applyNumberFormat="1" applyFont="1" applyFill="1" applyBorder="1" applyAlignment="1" applyProtection="1">
      <alignment horizontal="right" vertical="center"/>
      <protection locked="0"/>
    </xf>
    <xf numFmtId="49" fontId="55" fillId="10" borderId="105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55" xfId="10" applyNumberFormat="1" applyFont="1" applyFill="1" applyBorder="1" applyAlignment="1" applyProtection="1">
      <alignment horizontal="left" vertical="center" wrapText="1"/>
      <protection locked="0"/>
    </xf>
    <xf numFmtId="49" fontId="60" fillId="13" borderId="782" xfId="10" applyNumberFormat="1" applyFont="1" applyFill="1" applyBorder="1" applyAlignment="1" applyProtection="1">
      <alignment horizontal="center" vertical="center" wrapText="1"/>
      <protection locked="0"/>
    </xf>
    <xf numFmtId="49" fontId="60" fillId="13" borderId="1056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1058" xfId="10" applyNumberFormat="1" applyFont="1" applyFill="1" applyBorder="1" applyAlignment="1" applyProtection="1">
      <alignment horizontal="center" vertical="center" wrapText="1"/>
      <protection locked="0"/>
    </xf>
    <xf numFmtId="49" fontId="59" fillId="0" borderId="114" xfId="10" applyNumberFormat="1" applyFont="1" applyFill="1" applyBorder="1" applyAlignment="1" applyProtection="1">
      <alignment horizontal="left" vertical="center" wrapText="1"/>
      <protection locked="0"/>
    </xf>
    <xf numFmtId="49" fontId="55" fillId="15" borderId="1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4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4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59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6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62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063" xfId="10" applyNumberFormat="1" applyFont="1" applyFill="1" applyBorder="1" applyAlignment="1" applyProtection="1">
      <alignment horizontal="right" vertical="center"/>
      <protection locked="0"/>
    </xf>
    <xf numFmtId="10" fontId="55" fillId="0" borderId="1064" xfId="10" applyNumberFormat="1" applyFont="1" applyFill="1" applyBorder="1" applyAlignment="1" applyProtection="1">
      <alignment horizontal="right" vertical="center"/>
      <protection locked="0"/>
    </xf>
    <xf numFmtId="3" fontId="55" fillId="0" borderId="1066" xfId="10" applyNumberFormat="1" applyFont="1" applyFill="1" applyBorder="1" applyAlignment="1" applyProtection="1">
      <alignment horizontal="right" vertical="center"/>
      <protection locked="0"/>
    </xf>
    <xf numFmtId="3" fontId="55" fillId="0" borderId="1068" xfId="10" applyNumberFormat="1" applyFont="1" applyFill="1" applyBorder="1" applyAlignment="1" applyProtection="1">
      <alignment horizontal="right" vertical="center"/>
      <protection locked="0"/>
    </xf>
    <xf numFmtId="10" fontId="55" fillId="0" borderId="1069" xfId="10" applyNumberFormat="1" applyFont="1" applyFill="1" applyBorder="1" applyAlignment="1" applyProtection="1">
      <alignment horizontal="right" vertical="center"/>
      <protection locked="0"/>
    </xf>
    <xf numFmtId="3" fontId="61" fillId="0" borderId="1068" xfId="10" applyNumberFormat="1" applyFont="1" applyFill="1" applyBorder="1" applyAlignment="1" applyProtection="1">
      <alignment horizontal="right" vertical="center"/>
      <protection locked="0"/>
    </xf>
    <xf numFmtId="10" fontId="61" fillId="0" borderId="1069" xfId="10" applyNumberFormat="1" applyFont="1" applyFill="1" applyBorder="1" applyAlignment="1" applyProtection="1">
      <alignment horizontal="right" vertical="center"/>
      <protection locked="0"/>
    </xf>
    <xf numFmtId="49" fontId="55" fillId="10" borderId="107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71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73" xfId="10" applyNumberFormat="1" applyFont="1" applyFill="1" applyBorder="1" applyAlignment="1" applyProtection="1">
      <alignment horizontal="center" vertical="center" wrapText="1"/>
      <protection locked="0"/>
    </xf>
    <xf numFmtId="49" fontId="23" fillId="0" borderId="1074" xfId="0" applyNumberFormat="1" applyFont="1" applyBorder="1" applyAlignment="1">
      <alignment vertical="center" wrapText="1"/>
    </xf>
    <xf numFmtId="10" fontId="55" fillId="10" borderId="1075" xfId="10" applyNumberFormat="1" applyFont="1" applyFill="1" applyBorder="1" applyAlignment="1" applyProtection="1">
      <alignment horizontal="right" vertical="center" wrapText="1"/>
      <protection locked="0"/>
    </xf>
    <xf numFmtId="49" fontId="55" fillId="10" borderId="107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77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56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4" xfId="10" applyNumberFormat="1" applyFont="1" applyFill="1" applyBorder="1" applyAlignment="1" applyProtection="1">
      <alignment horizontal="right" vertical="center"/>
      <protection locked="0"/>
    </xf>
    <xf numFmtId="10" fontId="59" fillId="0" borderId="1075" xfId="10" applyNumberFormat="1" applyFont="1" applyFill="1" applyBorder="1" applyAlignment="1" applyProtection="1">
      <alignment horizontal="right" vertical="center"/>
      <protection locked="0"/>
    </xf>
    <xf numFmtId="3" fontId="55" fillId="0" borderId="1069" xfId="10" applyNumberFormat="1" applyFont="1" applyFill="1" applyBorder="1" applyAlignment="1" applyProtection="1">
      <alignment horizontal="right" vertical="center"/>
      <protection locked="0"/>
    </xf>
    <xf numFmtId="49" fontId="55" fillId="0" borderId="1072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7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8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081" xfId="10" applyNumberFormat="1" applyFont="1" applyFill="1" applyBorder="1" applyAlignment="1" applyProtection="1">
      <alignment horizontal="right" vertical="center"/>
      <protection locked="0"/>
    </xf>
    <xf numFmtId="3" fontId="55" fillId="0" borderId="1082" xfId="10" applyNumberFormat="1" applyFont="1" applyFill="1" applyBorder="1" applyAlignment="1" applyProtection="1">
      <alignment horizontal="right" vertical="center"/>
      <protection locked="0"/>
    </xf>
    <xf numFmtId="49" fontId="55" fillId="10" borderId="1083" xfId="10" applyNumberFormat="1" applyFont="1" applyFill="1" applyBorder="1" applyAlignment="1" applyProtection="1">
      <alignment horizontal="center" vertical="center" wrapText="1"/>
      <protection locked="0"/>
    </xf>
    <xf numFmtId="3" fontId="55" fillId="0" borderId="1038" xfId="10" applyNumberFormat="1" applyFont="1" applyFill="1" applyBorder="1" applyAlignment="1" applyProtection="1">
      <alignment horizontal="right" vertical="center"/>
      <protection locked="0"/>
    </xf>
    <xf numFmtId="49" fontId="55" fillId="10" borderId="1084" xfId="10" applyNumberFormat="1" applyFont="1" applyFill="1" applyBorder="1" applyAlignment="1" applyProtection="1">
      <alignment horizontal="center" vertical="center" wrapText="1"/>
      <protection locked="0"/>
    </xf>
    <xf numFmtId="3" fontId="55" fillId="0" borderId="1087" xfId="10" applyNumberFormat="1" applyFont="1" applyFill="1" applyBorder="1" applyAlignment="1" applyProtection="1">
      <alignment horizontal="right" vertical="center"/>
      <protection locked="0"/>
    </xf>
    <xf numFmtId="49" fontId="55" fillId="10" borderId="1088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089" xfId="10" applyNumberFormat="1" applyFont="1" applyFill="1" applyBorder="1" applyAlignment="1" applyProtection="1">
      <alignment horizontal="right" vertical="center"/>
      <protection locked="0"/>
    </xf>
    <xf numFmtId="3" fontId="59" fillId="6" borderId="15" xfId="10" applyNumberFormat="1" applyFont="1" applyFill="1" applyBorder="1" applyAlignment="1" applyProtection="1">
      <alignment horizontal="right" vertical="center"/>
      <protection locked="0"/>
    </xf>
    <xf numFmtId="10" fontId="59" fillId="6" borderId="5" xfId="10" applyNumberFormat="1" applyFont="1" applyFill="1" applyBorder="1" applyAlignment="1" applyProtection="1">
      <alignment horizontal="right" vertical="center"/>
      <protection locked="0"/>
    </xf>
    <xf numFmtId="3" fontId="55" fillId="6" borderId="1081" xfId="10" applyNumberFormat="1" applyFont="1" applyFill="1" applyBorder="1" applyAlignment="1" applyProtection="1">
      <alignment horizontal="right" vertical="center"/>
      <protection locked="0"/>
    </xf>
    <xf numFmtId="10" fontId="55" fillId="6" borderId="1038" xfId="10" applyNumberFormat="1" applyFont="1" applyFill="1" applyBorder="1" applyAlignment="1" applyProtection="1">
      <alignment horizontal="right" vertical="center"/>
      <protection locked="0"/>
    </xf>
    <xf numFmtId="49" fontId="55" fillId="10" borderId="1091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92" xfId="10" applyNumberFormat="1" applyFont="1" applyFill="1" applyBorder="1" applyAlignment="1" applyProtection="1">
      <alignment horizontal="left" vertical="center" wrapText="1"/>
      <protection locked="0"/>
    </xf>
    <xf numFmtId="3" fontId="55" fillId="6" borderId="1093" xfId="10" applyNumberFormat="1" applyFont="1" applyFill="1" applyBorder="1" applyAlignment="1" applyProtection="1">
      <alignment horizontal="right" vertical="center"/>
      <protection locked="0"/>
    </xf>
    <xf numFmtId="10" fontId="55" fillId="6" borderId="1094" xfId="10" applyNumberFormat="1" applyFont="1" applyFill="1" applyBorder="1" applyAlignment="1" applyProtection="1">
      <alignment horizontal="right" vertical="center"/>
      <protection locked="0"/>
    </xf>
    <xf numFmtId="49" fontId="60" fillId="13" borderId="26" xfId="10" applyNumberFormat="1" applyFont="1" applyFill="1" applyBorder="1" applyAlignment="1" applyProtection="1">
      <alignment horizontal="center" vertical="center" wrapText="1"/>
      <protection locked="0"/>
    </xf>
    <xf numFmtId="49" fontId="60" fillId="13" borderId="12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7" xfId="10" applyNumberFormat="1" applyFont="1" applyFill="1" applyBorder="1" applyAlignment="1" applyProtection="1">
      <alignment vertical="center" wrapText="1"/>
      <protection locked="0"/>
    </xf>
    <xf numFmtId="3" fontId="59" fillId="0" borderId="1095" xfId="10" applyNumberFormat="1" applyFont="1" applyFill="1" applyBorder="1" applyAlignment="1" applyProtection="1">
      <alignment horizontal="right" vertical="center"/>
      <protection locked="0"/>
    </xf>
    <xf numFmtId="3" fontId="55" fillId="0" borderId="1098" xfId="10" applyNumberFormat="1" applyFont="1" applyFill="1" applyBorder="1" applyAlignment="1" applyProtection="1">
      <alignment horizontal="right" vertical="center"/>
      <protection locked="0"/>
    </xf>
    <xf numFmtId="49" fontId="55" fillId="10" borderId="1100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101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47" xfId="10" applyNumberFormat="1" applyFont="1" applyFill="1" applyBorder="1" applyAlignment="1" applyProtection="1">
      <alignment vertical="center" wrapText="1"/>
      <protection locked="0"/>
    </xf>
    <xf numFmtId="49" fontId="55" fillId="10" borderId="1075" xfId="10" applyNumberFormat="1" applyFont="1" applyFill="1" applyBorder="1" applyAlignment="1" applyProtection="1">
      <alignment vertical="center" wrapText="1"/>
      <protection locked="0"/>
    </xf>
    <xf numFmtId="10" fontId="55" fillId="0" borderId="1075" xfId="10" applyNumberFormat="1" applyFont="1" applyFill="1" applyBorder="1" applyAlignment="1" applyProtection="1">
      <alignment horizontal="right" vertical="center"/>
      <protection locked="0"/>
    </xf>
    <xf numFmtId="49" fontId="55" fillId="10" borderId="110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103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06" xfId="10" applyNumberFormat="1" applyFont="1" applyFill="1" applyBorder="1" applyAlignment="1" applyProtection="1">
      <alignment vertical="center" wrapText="1"/>
      <protection locked="0"/>
    </xf>
    <xf numFmtId="49" fontId="55" fillId="10" borderId="1064" xfId="10" applyNumberFormat="1" applyFont="1" applyFill="1" applyBorder="1" applyAlignment="1" applyProtection="1">
      <alignment vertical="center" wrapText="1"/>
      <protection locked="0"/>
    </xf>
    <xf numFmtId="49" fontId="55" fillId="10" borderId="1068" xfId="10" applyNumberFormat="1" applyFont="1" applyFill="1" applyBorder="1" applyAlignment="1" applyProtection="1">
      <alignment vertical="center" wrapText="1"/>
      <protection locked="0"/>
    </xf>
    <xf numFmtId="10" fontId="55" fillId="10" borderId="1064" xfId="10" applyNumberFormat="1" applyFont="1" applyFill="1" applyBorder="1" applyAlignment="1" applyProtection="1">
      <alignment horizontal="right" vertical="center" wrapText="1"/>
      <protection locked="0"/>
    </xf>
    <xf numFmtId="3" fontId="55" fillId="0" borderId="1106" xfId="10" applyNumberFormat="1" applyFont="1" applyFill="1" applyBorder="1" applyAlignment="1" applyProtection="1">
      <alignment horizontal="right" vertical="center"/>
      <protection locked="0"/>
    </xf>
    <xf numFmtId="49" fontId="55" fillId="10" borderId="1107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108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10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110" xfId="10" applyNumberFormat="1" applyFont="1" applyFill="1" applyBorder="1" applyAlignment="1" applyProtection="1">
      <alignment horizontal="left" vertical="center" wrapText="1"/>
      <protection locked="0"/>
    </xf>
    <xf numFmtId="3" fontId="55" fillId="0" borderId="1111" xfId="10" applyNumberFormat="1" applyFont="1" applyFill="1" applyBorder="1" applyAlignment="1" applyProtection="1">
      <alignment horizontal="right" vertical="center"/>
      <protection locked="0"/>
    </xf>
    <xf numFmtId="10" fontId="55" fillId="0" borderId="1113" xfId="10" applyNumberFormat="1" applyFont="1" applyFill="1" applyBorder="1" applyAlignment="1" applyProtection="1">
      <alignment horizontal="right" vertical="center"/>
      <protection locked="0"/>
    </xf>
    <xf numFmtId="49" fontId="55" fillId="10" borderId="111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4" xfId="10" applyNumberFormat="1" applyFont="1" applyFill="1" applyBorder="1" applyAlignment="1" applyProtection="1">
      <alignment vertical="center" wrapText="1"/>
      <protection locked="0"/>
    </xf>
    <xf numFmtId="49" fontId="55" fillId="10" borderId="1116" xfId="10" applyNumberFormat="1" applyFont="1" applyFill="1" applyBorder="1" applyAlignment="1" applyProtection="1">
      <alignment horizontal="center" vertical="center" wrapText="1"/>
      <protection locked="0"/>
    </xf>
    <xf numFmtId="10" fontId="55" fillId="0" borderId="1094" xfId="10" applyNumberFormat="1" applyFont="1" applyFill="1" applyBorder="1" applyAlignment="1" applyProtection="1">
      <alignment horizontal="right" vertical="center"/>
      <protection locked="0"/>
    </xf>
    <xf numFmtId="3" fontId="55" fillId="0" borderId="1117" xfId="10" applyNumberFormat="1" applyFont="1" applyFill="1" applyBorder="1" applyAlignment="1" applyProtection="1">
      <alignment horizontal="right" vertical="center"/>
      <protection locked="0"/>
    </xf>
    <xf numFmtId="10" fontId="55" fillId="0" borderId="1118" xfId="10" applyNumberFormat="1" applyFont="1" applyFill="1" applyBorder="1" applyAlignment="1" applyProtection="1">
      <alignment horizontal="right" vertical="center"/>
      <protection locked="0"/>
    </xf>
    <xf numFmtId="49" fontId="59" fillId="11" borderId="771" xfId="10" applyNumberFormat="1" applyFont="1" applyFill="1" applyBorder="1" applyAlignment="1" applyProtection="1">
      <alignment vertical="top" wrapText="1"/>
      <protection locked="0"/>
    </xf>
    <xf numFmtId="10" fontId="59" fillId="11" borderId="12" xfId="10" applyNumberFormat="1" applyFont="1" applyFill="1" applyBorder="1" applyAlignment="1" applyProtection="1">
      <alignment horizontal="right" vertical="top" wrapText="1"/>
      <protection locked="0"/>
    </xf>
    <xf numFmtId="3" fontId="60" fillId="13" borderId="771" xfId="10" applyNumberFormat="1" applyFont="1" applyFill="1" applyBorder="1" applyAlignment="1" applyProtection="1">
      <alignment horizontal="right" vertical="center" wrapText="1"/>
      <protection locked="0"/>
    </xf>
    <xf numFmtId="10" fontId="60" fillId="13" borderId="12" xfId="10" applyNumberFormat="1" applyFont="1" applyFill="1" applyBorder="1" applyAlignment="1" applyProtection="1">
      <alignment horizontal="right" vertical="center" wrapText="1"/>
      <protection locked="0"/>
    </xf>
    <xf numFmtId="3" fontId="55" fillId="0" borderId="0" xfId="10" applyNumberFormat="1" applyFont="1" applyFill="1" applyBorder="1" applyAlignment="1" applyProtection="1">
      <alignment horizontal="left" vertical="center"/>
      <protection locked="0"/>
    </xf>
    <xf numFmtId="3" fontId="55" fillId="10" borderId="1095" xfId="10" applyNumberFormat="1" applyFont="1" applyFill="1" applyBorder="1" applyAlignment="1" applyProtection="1">
      <alignment horizontal="right" vertical="center" wrapText="1"/>
      <protection locked="0"/>
    </xf>
    <xf numFmtId="3" fontId="55" fillId="10" borderId="1106" xfId="10" applyNumberFormat="1" applyFont="1" applyFill="1" applyBorder="1" applyAlignment="1" applyProtection="1">
      <alignment horizontal="right" vertical="center" wrapText="1"/>
      <protection locked="0"/>
    </xf>
    <xf numFmtId="3" fontId="55" fillId="10" borderId="1111" xfId="10" applyNumberFormat="1" applyFont="1" applyFill="1" applyBorder="1" applyAlignment="1" applyProtection="1">
      <alignment horizontal="right" vertical="center" wrapText="1"/>
      <protection locked="0"/>
    </xf>
    <xf numFmtId="10" fontId="55" fillId="10" borderId="1038" xfId="10" applyNumberFormat="1" applyFont="1" applyFill="1" applyBorder="1" applyAlignment="1" applyProtection="1">
      <alignment horizontal="right" vertical="center" wrapText="1"/>
      <protection locked="0"/>
    </xf>
    <xf numFmtId="3" fontId="55" fillId="10" borderId="1093" xfId="10" applyNumberFormat="1" applyFont="1" applyFill="1" applyBorder="1" applyAlignment="1" applyProtection="1">
      <alignment horizontal="right" vertical="center" wrapText="1"/>
      <protection locked="0"/>
    </xf>
    <xf numFmtId="10" fontId="55" fillId="10" borderId="1094" xfId="10" applyNumberFormat="1" applyFont="1" applyFill="1" applyBorder="1" applyAlignment="1" applyProtection="1">
      <alignment horizontal="right" vertical="center" wrapText="1"/>
      <protection locked="0"/>
    </xf>
    <xf numFmtId="49" fontId="58" fillId="10" borderId="0" xfId="10" applyNumberFormat="1" applyFont="1" applyFill="1" applyBorder="1" applyAlignment="1" applyProtection="1">
      <alignment vertical="top" wrapText="1"/>
      <protection locked="0"/>
    </xf>
    <xf numFmtId="3" fontId="58" fillId="10" borderId="0" xfId="10" applyNumberFormat="1" applyFont="1" applyFill="1" applyBorder="1" applyAlignment="1" applyProtection="1">
      <alignment vertical="top" wrapText="1"/>
      <protection locked="0"/>
    </xf>
    <xf numFmtId="10" fontId="58" fillId="10" borderId="0" xfId="10" applyNumberFormat="1" applyFont="1" applyFill="1" applyBorder="1" applyAlignment="1" applyProtection="1">
      <alignment horizontal="right" vertical="top" wrapText="1"/>
      <protection locked="0"/>
    </xf>
    <xf numFmtId="3" fontId="59" fillId="0" borderId="528" xfId="10" applyNumberFormat="1" applyFont="1" applyFill="1" applyBorder="1" applyAlignment="1" applyProtection="1">
      <alignment horizontal="right" vertical="center"/>
      <protection locked="0"/>
    </xf>
    <xf numFmtId="49" fontId="55" fillId="10" borderId="1126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Alignment="1">
      <alignment horizontal="right" vertical="center"/>
    </xf>
    <xf numFmtId="49" fontId="19" fillId="0" borderId="4" xfId="1" applyNumberFormat="1" applyFont="1" applyFill="1" applyBorder="1" applyAlignment="1">
      <alignment horizontal="center" vertical="center" wrapText="1"/>
    </xf>
    <xf numFmtId="49" fontId="19" fillId="0" borderId="4" xfId="1" applyNumberFormat="1" applyFont="1" applyFill="1" applyBorder="1" applyAlignment="1">
      <alignment horizontal="center" vertical="center"/>
    </xf>
    <xf numFmtId="49" fontId="11" fillId="3" borderId="4" xfId="1" applyNumberFormat="1" applyFont="1" applyFill="1" applyBorder="1" applyAlignment="1">
      <alignment horizontal="center" vertical="center"/>
    </xf>
    <xf numFmtId="3" fontId="11" fillId="3" borderId="4" xfId="1" applyNumberFormat="1" applyFont="1" applyFill="1" applyBorder="1" applyAlignment="1">
      <alignment horizontal="right" vertical="center"/>
    </xf>
    <xf numFmtId="0" fontId="21" fillId="3" borderId="4" xfId="1" applyFont="1" applyFill="1" applyBorder="1" applyAlignment="1">
      <alignment vertical="center"/>
    </xf>
    <xf numFmtId="3" fontId="19" fillId="0" borderId="1127" xfId="1" applyNumberFormat="1" applyFont="1" applyBorder="1" applyAlignment="1">
      <alignment horizontal="right" vertical="center"/>
    </xf>
    <xf numFmtId="3" fontId="19" fillId="0" borderId="1130" xfId="1" applyNumberFormat="1" applyFont="1" applyBorder="1" applyAlignment="1">
      <alignment horizontal="right" vertical="center"/>
    </xf>
    <xf numFmtId="3" fontId="19" fillId="0" borderId="1134" xfId="1" applyNumberFormat="1" applyFont="1" applyBorder="1" applyAlignment="1">
      <alignment horizontal="right" vertical="center"/>
    </xf>
    <xf numFmtId="3" fontId="11" fillId="4" borderId="1136" xfId="1" applyNumberFormat="1" applyFont="1" applyFill="1" applyBorder="1" applyAlignment="1">
      <alignment horizontal="right" vertical="center"/>
    </xf>
    <xf numFmtId="3" fontId="20" fillId="4" borderId="1136" xfId="1" applyNumberFormat="1" applyFont="1" applyFill="1" applyBorder="1" applyAlignment="1">
      <alignment horizontal="right" vertical="center"/>
    </xf>
    <xf numFmtId="0" fontId="19" fillId="4" borderId="1137" xfId="1" applyFont="1" applyFill="1" applyBorder="1"/>
    <xf numFmtId="49" fontId="19" fillId="0" borderId="1134" xfId="1" applyNumberFormat="1" applyFont="1" applyBorder="1" applyAlignment="1">
      <alignment horizontal="center" vertical="center"/>
    </xf>
    <xf numFmtId="49" fontId="19" fillId="0" borderId="1134" xfId="1" applyNumberFormat="1" applyFont="1" applyBorder="1" applyAlignment="1">
      <alignment horizontal="center" vertical="center" wrapText="1"/>
    </xf>
    <xf numFmtId="3" fontId="11" fillId="0" borderId="1134" xfId="1" applyNumberFormat="1" applyFont="1" applyBorder="1" applyAlignment="1">
      <alignment horizontal="right" vertical="center"/>
    </xf>
    <xf numFmtId="3" fontId="19" fillId="0" borderId="1134" xfId="1" applyNumberFormat="1" applyFont="1" applyBorder="1" applyAlignment="1">
      <alignment horizontal="center" vertical="center" wrapText="1"/>
    </xf>
    <xf numFmtId="0" fontId="19" fillId="0" borderId="1138" xfId="1" applyFont="1" applyBorder="1" applyAlignment="1">
      <alignment horizontal="left" vertical="center" wrapText="1"/>
    </xf>
    <xf numFmtId="49" fontId="11" fillId="2" borderId="4" xfId="1" applyNumberFormat="1" applyFont="1" applyFill="1" applyBorder="1" applyAlignment="1">
      <alignment horizontal="center" vertical="center"/>
    </xf>
    <xf numFmtId="3" fontId="11" fillId="2" borderId="4" xfId="1" applyNumberFormat="1" applyFont="1" applyFill="1" applyBorder="1" applyAlignment="1">
      <alignment horizontal="right" vertical="center"/>
    </xf>
    <xf numFmtId="3" fontId="11" fillId="2" borderId="9" xfId="1" applyNumberFormat="1" applyFont="1" applyFill="1" applyBorder="1" applyAlignment="1">
      <alignment horizontal="right" vertical="center"/>
    </xf>
    <xf numFmtId="0" fontId="21" fillId="2" borderId="12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8" fillId="0" borderId="0" xfId="1" applyFont="1" applyAlignment="1">
      <alignment horizontal="right" wrapText="1"/>
    </xf>
    <xf numFmtId="0" fontId="11" fillId="4" borderId="11" xfId="1" applyFont="1" applyFill="1" applyBorder="1" applyAlignment="1">
      <alignment horizontal="center" vertical="center" wrapText="1"/>
    </xf>
    <xf numFmtId="0" fontId="19" fillId="0" borderId="1134" xfId="1" applyFont="1" applyFill="1" applyBorder="1" applyAlignment="1">
      <alignment horizontal="center" vertical="center" wrapText="1"/>
    </xf>
    <xf numFmtId="0" fontId="19" fillId="0" borderId="1129" xfId="1" applyFont="1" applyBorder="1" applyAlignment="1">
      <alignment horizontal="center" vertical="center"/>
    </xf>
    <xf numFmtId="0" fontId="19" fillId="0" borderId="1134" xfId="1" applyFont="1" applyBorder="1" applyAlignment="1">
      <alignment horizontal="center" vertical="center"/>
    </xf>
    <xf numFmtId="49" fontId="65" fillId="0" borderId="0" xfId="1" applyNumberFormat="1" applyFont="1" applyBorder="1" applyAlignment="1">
      <alignment horizontal="center" vertical="center"/>
    </xf>
    <xf numFmtId="49" fontId="66" fillId="0" borderId="0" xfId="1" applyNumberFormat="1" applyFont="1" applyBorder="1" applyAlignment="1">
      <alignment horizontal="center" vertical="top"/>
    </xf>
    <xf numFmtId="0" fontId="65" fillId="0" borderId="0" xfId="1" applyFont="1" applyBorder="1" applyAlignment="1">
      <alignment horizontal="center" vertical="center"/>
    </xf>
    <xf numFmtId="0" fontId="65" fillId="0" borderId="0" xfId="1" applyFont="1" applyFill="1" applyBorder="1" applyAlignment="1">
      <alignment horizontal="center" vertical="center"/>
    </xf>
    <xf numFmtId="3" fontId="65" fillId="0" borderId="0" xfId="1" applyNumberFormat="1" applyFont="1" applyBorder="1" applyAlignment="1">
      <alignment horizontal="right" vertical="center"/>
    </xf>
    <xf numFmtId="0" fontId="65" fillId="0" borderId="0" xfId="1" applyFont="1" applyAlignment="1">
      <alignment vertical="center"/>
    </xf>
    <xf numFmtId="0" fontId="21" fillId="0" borderId="0" xfId="1" applyFont="1" applyBorder="1" applyAlignment="1">
      <alignment horizontal="center" vertical="top"/>
    </xf>
    <xf numFmtId="0" fontId="67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1" fillId="2" borderId="1125" xfId="1" applyFont="1" applyFill="1" applyBorder="1" applyAlignment="1">
      <alignment horizontal="center" vertical="center" wrapText="1"/>
    </xf>
    <xf numFmtId="0" fontId="11" fillId="2" borderId="1134" xfId="1" applyFont="1" applyFill="1" applyBorder="1" applyAlignment="1">
      <alignment horizontal="center" vertical="center" wrapText="1"/>
    </xf>
    <xf numFmtId="0" fontId="11" fillId="2" borderId="1138" xfId="1" applyFont="1" applyFill="1" applyBorder="1" applyAlignment="1">
      <alignment horizontal="center" vertical="center" wrapText="1"/>
    </xf>
    <xf numFmtId="3" fontId="11" fillId="4" borderId="48" xfId="1" applyNumberFormat="1" applyFont="1" applyFill="1" applyBorder="1" applyAlignment="1">
      <alignment horizontal="right" vertical="center"/>
    </xf>
    <xf numFmtId="3" fontId="11" fillId="4" borderId="8" xfId="1" applyNumberFormat="1" applyFont="1" applyFill="1" applyBorder="1" applyAlignment="1">
      <alignment horizontal="right" vertical="center"/>
    </xf>
    <xf numFmtId="3" fontId="11" fillId="4" borderId="85" xfId="1" applyNumberFormat="1" applyFont="1" applyFill="1" applyBorder="1" applyAlignment="1">
      <alignment horizontal="right" vertical="center"/>
    </xf>
    <xf numFmtId="3" fontId="11" fillId="4" borderId="88" xfId="1" applyNumberFormat="1" applyFont="1" applyFill="1" applyBorder="1" applyAlignment="1">
      <alignment horizontal="right" vertical="center"/>
    </xf>
    <xf numFmtId="0" fontId="11" fillId="4" borderId="1144" xfId="1" applyFont="1" applyFill="1" applyBorder="1" applyAlignment="1">
      <alignment horizontal="right" vertical="center"/>
    </xf>
    <xf numFmtId="0" fontId="11" fillId="4" borderId="41" xfId="1" applyFont="1" applyFill="1" applyBorder="1" applyAlignment="1">
      <alignment horizontal="right" vertical="center"/>
    </xf>
    <xf numFmtId="0" fontId="19" fillId="0" borderId="1125" xfId="1" applyFont="1" applyFill="1" applyBorder="1" applyAlignment="1">
      <alignment horizontal="center" vertical="center"/>
    </xf>
    <xf numFmtId="0" fontId="19" fillId="0" borderId="1133" xfId="1" applyFont="1" applyFill="1" applyBorder="1" applyAlignment="1">
      <alignment horizontal="center" vertical="center"/>
    </xf>
    <xf numFmtId="3" fontId="19" fillId="0" borderId="1039" xfId="1" applyNumberFormat="1" applyFont="1" applyFill="1" applyBorder="1" applyAlignment="1">
      <alignment horizontal="right" vertical="center"/>
    </xf>
    <xf numFmtId="3" fontId="19" fillId="0" borderId="1125" xfId="1" applyNumberFormat="1" applyFont="1" applyFill="1" applyBorder="1" applyAlignment="1">
      <alignment horizontal="right" vertical="center" wrapText="1"/>
    </xf>
    <xf numFmtId="3" fontId="19" fillId="0" borderId="1134" xfId="1" applyNumberFormat="1" applyFont="1" applyFill="1" applyBorder="1" applyAlignment="1">
      <alignment horizontal="right" vertical="center" wrapText="1"/>
    </xf>
    <xf numFmtId="0" fontId="19" fillId="0" borderId="1138" xfId="1" applyFont="1" applyFill="1" applyBorder="1" applyAlignment="1">
      <alignment horizontal="right" vertical="center" wrapText="1"/>
    </xf>
    <xf numFmtId="0" fontId="19" fillId="0" borderId="1094" xfId="1" applyFont="1" applyFill="1" applyBorder="1" applyAlignment="1">
      <alignment horizontal="right" vertical="center" wrapText="1"/>
    </xf>
    <xf numFmtId="3" fontId="11" fillId="4" borderId="547" xfId="1" applyNumberFormat="1" applyFont="1" applyFill="1" applyBorder="1" applyAlignment="1">
      <alignment horizontal="right" vertical="center"/>
    </xf>
    <xf numFmtId="3" fontId="11" fillId="4" borderId="16" xfId="1" applyNumberFormat="1" applyFont="1" applyFill="1" applyBorder="1" applyAlignment="1">
      <alignment horizontal="right" vertical="center"/>
    </xf>
    <xf numFmtId="3" fontId="11" fillId="4" borderId="1120" xfId="1" applyNumberFormat="1" applyFont="1" applyFill="1" applyBorder="1" applyAlignment="1">
      <alignment horizontal="right" vertical="center"/>
    </xf>
    <xf numFmtId="3" fontId="11" fillId="4" borderId="1141" xfId="1" applyNumberFormat="1" applyFont="1" applyFill="1" applyBorder="1" applyAlignment="1">
      <alignment horizontal="right" vertical="center"/>
    </xf>
    <xf numFmtId="3" fontId="11" fillId="4" borderId="1095" xfId="1" applyNumberFormat="1" applyFont="1" applyFill="1" applyBorder="1" applyAlignment="1">
      <alignment horizontal="right" vertical="center"/>
    </xf>
    <xf numFmtId="3" fontId="11" fillId="4" borderId="1075" xfId="1" applyNumberFormat="1" applyFont="1" applyFill="1" applyBorder="1" applyAlignment="1">
      <alignment horizontal="right" vertical="center"/>
    </xf>
    <xf numFmtId="0" fontId="19" fillId="0" borderId="1128" xfId="1" applyFont="1" applyBorder="1" applyAlignment="1">
      <alignment horizontal="center" vertical="center" wrapText="1"/>
    </xf>
    <xf numFmtId="3" fontId="19" fillId="0" borderId="1146" xfId="1" applyNumberFormat="1" applyFont="1" applyBorder="1" applyAlignment="1">
      <alignment horizontal="right" vertical="center"/>
    </xf>
    <xf numFmtId="3" fontId="19" fillId="0" borderId="1131" xfId="1" applyNumberFormat="1" applyFont="1" applyBorder="1" applyAlignment="1">
      <alignment horizontal="right" vertical="center"/>
    </xf>
    <xf numFmtId="3" fontId="19" fillId="0" borderId="1147" xfId="1" applyNumberFormat="1" applyFont="1" applyBorder="1" applyAlignment="1">
      <alignment horizontal="right" vertical="center"/>
    </xf>
    <xf numFmtId="3" fontId="19" fillId="0" borderId="1148" xfId="1" applyNumberFormat="1" applyFont="1" applyBorder="1" applyAlignment="1">
      <alignment horizontal="right" vertical="center"/>
    </xf>
    <xf numFmtId="3" fontId="11" fillId="2" borderId="12" xfId="1" applyNumberFormat="1" applyFont="1" applyFill="1" applyBorder="1" applyAlignment="1">
      <alignment horizontal="right" vertical="center"/>
    </xf>
    <xf numFmtId="0" fontId="68" fillId="0" borderId="0" xfId="1" applyFont="1" applyAlignment="1">
      <alignment horizontal="center" vertical="center"/>
    </xf>
    <xf numFmtId="0" fontId="14" fillId="0" borderId="0" xfId="1" applyFont="1" applyAlignment="1">
      <alignment horizontal="right" vertical="center" wrapText="1"/>
    </xf>
    <xf numFmtId="3" fontId="46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right"/>
    </xf>
    <xf numFmtId="3" fontId="5" fillId="0" borderId="0" xfId="1" applyNumberFormat="1" applyFont="1"/>
    <xf numFmtId="0" fontId="12" fillId="4" borderId="1129" xfId="1" applyFont="1" applyFill="1" applyBorder="1" applyAlignment="1">
      <alignment horizontal="center" vertical="center"/>
    </xf>
    <xf numFmtId="0" fontId="7" fillId="0" borderId="1129" xfId="1" applyFont="1" applyBorder="1" applyAlignment="1">
      <alignment horizontal="center" vertical="center"/>
    </xf>
    <xf numFmtId="3" fontId="7" fillId="0" borderId="1129" xfId="1" applyNumberFormat="1" applyFont="1" applyBorder="1" applyAlignment="1">
      <alignment horizontal="right" vertical="center"/>
    </xf>
    <xf numFmtId="3" fontId="7" fillId="0" borderId="1129" xfId="1" applyNumberFormat="1" applyFont="1" applyBorder="1" applyAlignment="1">
      <alignment vertical="center" wrapText="1"/>
    </xf>
    <xf numFmtId="0" fontId="7" fillId="0" borderId="1142" xfId="1" applyFont="1" applyBorder="1" applyAlignment="1">
      <alignment horizontal="center" vertical="center"/>
    </xf>
    <xf numFmtId="3" fontId="7" fillId="0" borderId="1147" xfId="1" applyNumberFormat="1" applyFont="1" applyBorder="1" applyAlignment="1">
      <alignment horizontal="left" vertical="center" wrapText="1"/>
    </xf>
    <xf numFmtId="3" fontId="12" fillId="4" borderId="1134" xfId="1" applyNumberFormat="1" applyFont="1" applyFill="1" applyBorder="1" applyAlignment="1">
      <alignment horizontal="right" vertical="center"/>
    </xf>
    <xf numFmtId="3" fontId="12" fillId="4" borderId="1138" xfId="1" applyNumberFormat="1" applyFont="1" applyFill="1" applyBorder="1" applyAlignment="1">
      <alignment vertical="center"/>
    </xf>
    <xf numFmtId="3" fontId="5" fillId="0" borderId="0" xfId="1" applyNumberFormat="1" applyFont="1" applyAlignment="1"/>
    <xf numFmtId="49" fontId="12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right" vertical="center"/>
    </xf>
    <xf numFmtId="3" fontId="12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Alignment="1"/>
    <xf numFmtId="3" fontId="5" fillId="0" borderId="0" xfId="1" applyNumberFormat="1" applyFont="1" applyFill="1"/>
    <xf numFmtId="0" fontId="5" fillId="0" borderId="0" xfId="1" applyFont="1" applyFill="1"/>
    <xf numFmtId="0" fontId="69" fillId="0" borderId="0" xfId="1" applyFont="1" applyFill="1" applyBorder="1"/>
    <xf numFmtId="3" fontId="32" fillId="0" borderId="0" xfId="1" applyNumberFormat="1" applyFont="1" applyBorder="1" applyAlignment="1"/>
    <xf numFmtId="3" fontId="32" fillId="0" borderId="0" xfId="1" applyNumberFormat="1" applyFont="1" applyBorder="1"/>
    <xf numFmtId="0" fontId="69" fillId="0" borderId="0" xfId="1" applyFont="1" applyFill="1"/>
    <xf numFmtId="3" fontId="5" fillId="0" borderId="0" xfId="1" applyNumberFormat="1" applyAlignment="1"/>
    <xf numFmtId="3" fontId="5" fillId="0" borderId="0" xfId="1" applyNumberFormat="1" applyFont="1" applyBorder="1"/>
    <xf numFmtId="0" fontId="70" fillId="0" borderId="0" xfId="1" applyFont="1" applyFill="1"/>
    <xf numFmtId="0" fontId="69" fillId="0" borderId="0" xfId="1" applyFont="1" applyBorder="1"/>
    <xf numFmtId="0" fontId="69" fillId="0" borderId="0" xfId="1" applyFont="1"/>
    <xf numFmtId="0" fontId="32" fillId="0" borderId="0" xfId="1" applyFont="1" applyBorder="1"/>
    <xf numFmtId="0" fontId="32" fillId="0" borderId="0" xfId="1" applyFont="1"/>
    <xf numFmtId="0" fontId="69" fillId="0" borderId="0" xfId="1" applyFont="1" applyBorder="1" applyAlignment="1">
      <alignment horizontal="right"/>
    </xf>
    <xf numFmtId="3" fontId="69" fillId="0" borderId="0" xfId="1" applyNumberFormat="1" applyFont="1" applyBorder="1"/>
    <xf numFmtId="0" fontId="69" fillId="0" borderId="0" xfId="1" applyFont="1" applyAlignment="1">
      <alignment horizontal="right"/>
    </xf>
    <xf numFmtId="3" fontId="46" fillId="0" borderId="0" xfId="1" applyNumberFormat="1" applyFont="1" applyAlignment="1"/>
    <xf numFmtId="3" fontId="70" fillId="0" borderId="0" xfId="1" applyNumberFormat="1" applyFont="1"/>
    <xf numFmtId="0" fontId="70" fillId="0" borderId="0" xfId="1" applyFont="1"/>
    <xf numFmtId="3" fontId="32" fillId="0" borderId="0" xfId="1" applyNumberFormat="1" applyFont="1" applyBorder="1" applyAlignment="1">
      <alignment horizontal="right"/>
    </xf>
    <xf numFmtId="0" fontId="18" fillId="0" borderId="0" xfId="1" applyFont="1" applyAlignment="1">
      <alignment vertical="center"/>
    </xf>
    <xf numFmtId="0" fontId="5" fillId="0" borderId="0" xfId="1" applyFont="1" applyAlignment="1">
      <alignment horizontal="left"/>
    </xf>
    <xf numFmtId="0" fontId="7" fillId="0" borderId="1142" xfId="1" applyFont="1" applyFill="1" applyBorder="1" applyAlignment="1">
      <alignment horizontal="center" vertical="center"/>
    </xf>
    <xf numFmtId="0" fontId="7" fillId="0" borderId="1129" xfId="1" applyFont="1" applyFill="1" applyBorder="1" applyAlignment="1">
      <alignment horizontal="center" vertical="center"/>
    </xf>
    <xf numFmtId="0" fontId="7" fillId="0" borderId="1130" xfId="1" applyFont="1" applyFill="1" applyBorder="1" applyAlignment="1">
      <alignment horizontal="center" vertical="center"/>
    </xf>
    <xf numFmtId="3" fontId="7" fillId="0" borderId="1130" xfId="1" applyNumberFormat="1" applyFont="1" applyFill="1" applyBorder="1" applyAlignment="1">
      <alignment horizontal="right" vertical="center" wrapText="1"/>
    </xf>
    <xf numFmtId="3" fontId="7" fillId="0" borderId="1130" xfId="1" applyNumberFormat="1" applyFont="1" applyFill="1" applyBorder="1" applyAlignment="1">
      <alignment horizontal="right" vertical="center"/>
    </xf>
    <xf numFmtId="0" fontId="32" fillId="0" borderId="0" xfId="1" applyFont="1" applyFill="1"/>
    <xf numFmtId="3" fontId="7" fillId="0" borderId="1129" xfId="1" applyNumberFormat="1" applyFont="1" applyFill="1" applyBorder="1" applyAlignment="1">
      <alignment horizontal="right" vertical="center" wrapText="1"/>
    </xf>
    <xf numFmtId="3" fontId="7" fillId="0" borderId="1129" xfId="1" applyNumberFormat="1" applyFont="1" applyFill="1" applyBorder="1" applyAlignment="1">
      <alignment horizontal="right" vertical="center"/>
    </xf>
    <xf numFmtId="0" fontId="7" fillId="0" borderId="1098" xfId="1" applyFont="1" applyFill="1" applyBorder="1" applyAlignment="1">
      <alignment vertical="center" wrapText="1"/>
    </xf>
    <xf numFmtId="0" fontId="7" fillId="0" borderId="1141" xfId="1" applyFont="1" applyFill="1" applyBorder="1" applyAlignment="1">
      <alignment horizontal="center" vertical="center"/>
    </xf>
    <xf numFmtId="3" fontId="7" fillId="0" borderId="1141" xfId="1" applyNumberFormat="1" applyFont="1" applyFill="1" applyBorder="1" applyAlignment="1">
      <alignment horizontal="right" vertical="center"/>
    </xf>
    <xf numFmtId="0" fontId="32" fillId="0" borderId="0" xfId="1" applyFont="1" applyFill="1" applyAlignment="1">
      <alignment horizontal="left"/>
    </xf>
    <xf numFmtId="0" fontId="7" fillId="0" borderId="1140" xfId="1" applyFont="1" applyBorder="1" applyAlignment="1">
      <alignment horizontal="center" vertical="center"/>
    </xf>
    <xf numFmtId="3" fontId="7" fillId="0" borderId="1129" xfId="1" applyNumberFormat="1" applyFont="1" applyBorder="1" applyAlignment="1">
      <alignment horizontal="right" vertical="center" wrapText="1"/>
    </xf>
    <xf numFmtId="3" fontId="71" fillId="0" borderId="0" xfId="1" applyNumberFormat="1" applyFont="1"/>
    <xf numFmtId="3" fontId="32" fillId="0" borderId="0" xfId="1" applyNumberFormat="1" applyFont="1"/>
    <xf numFmtId="0" fontId="7" fillId="0" borderId="1141" xfId="1" applyFont="1" applyBorder="1" applyAlignment="1">
      <alignment horizontal="center" vertical="center"/>
    </xf>
    <xf numFmtId="3" fontId="7" fillId="0" borderId="1127" xfId="1" applyNumberFormat="1" applyFont="1" applyBorder="1" applyAlignment="1">
      <alignment horizontal="right" vertical="center"/>
    </xf>
    <xf numFmtId="3" fontId="7" fillId="0" borderId="1127" xfId="1" applyNumberFormat="1" applyFont="1" applyBorder="1" applyAlignment="1">
      <alignment horizontal="right" vertical="center" wrapText="1"/>
    </xf>
    <xf numFmtId="3" fontId="12" fillId="4" borderId="1125" xfId="1" applyNumberFormat="1" applyFont="1" applyFill="1" applyBorder="1" applyAlignment="1">
      <alignment horizontal="right" vertical="center"/>
    </xf>
    <xf numFmtId="3" fontId="72" fillId="0" borderId="0" xfId="1" applyNumberFormat="1" applyFont="1"/>
    <xf numFmtId="0" fontId="5" fillId="0" borderId="0" xfId="1" applyFont="1" applyAlignment="1">
      <alignment horizontal="right"/>
    </xf>
    <xf numFmtId="3" fontId="5" fillId="0" borderId="1129" xfId="1" applyNumberFormat="1" applyFont="1" applyBorder="1" applyAlignment="1">
      <alignment horizontal="right" vertical="center"/>
    </xf>
    <xf numFmtId="0" fontId="7" fillId="0" borderId="1098" xfId="1" applyFont="1" applyFill="1" applyBorder="1" applyAlignment="1">
      <alignment horizontal="left" vertical="center" wrapText="1"/>
    </xf>
    <xf numFmtId="0" fontId="7" fillId="0" borderId="1147" xfId="1" applyFont="1" applyFill="1" applyBorder="1" applyAlignment="1">
      <alignment horizontal="left" vertical="center" wrapText="1"/>
    </xf>
    <xf numFmtId="3" fontId="7" fillId="0" borderId="1141" xfId="1" applyNumberFormat="1" applyFont="1" applyBorder="1" applyAlignment="1">
      <alignment horizontal="right" vertical="center"/>
    </xf>
    <xf numFmtId="0" fontId="70" fillId="0" borderId="0" xfId="1" applyFont="1" applyAlignment="1">
      <alignment horizontal="right"/>
    </xf>
    <xf numFmtId="3" fontId="70" fillId="0" borderId="0" xfId="1" applyNumberFormat="1" applyFont="1" applyAlignment="1">
      <alignment vertical="center"/>
    </xf>
    <xf numFmtId="3" fontId="5" fillId="0" borderId="0" xfId="1" applyNumberFormat="1" applyAlignment="1">
      <alignment vertical="center"/>
    </xf>
    <xf numFmtId="0" fontId="15" fillId="0" borderId="0" xfId="1" applyFont="1" applyAlignment="1">
      <alignment vertical="center" wrapText="1"/>
    </xf>
    <xf numFmtId="3" fontId="18" fillId="0" borderId="0" xfId="1" applyNumberFormat="1" applyFont="1" applyAlignment="1">
      <alignment vertical="center"/>
    </xf>
    <xf numFmtId="0" fontId="18" fillId="0" borderId="0" xfId="1" applyFont="1" applyAlignment="1">
      <alignment horizontal="center" vertical="center" wrapText="1"/>
    </xf>
    <xf numFmtId="0" fontId="8" fillId="0" borderId="0" xfId="1" applyFont="1" applyAlignment="1">
      <alignment horizontal="right" vertical="center" wrapText="1"/>
    </xf>
    <xf numFmtId="0" fontId="12" fillId="4" borderId="26" xfId="1" applyFont="1" applyFill="1" applyBorder="1" applyAlignment="1">
      <alignment horizontal="center" vertical="center"/>
    </xf>
    <xf numFmtId="0" fontId="12" fillId="4" borderId="82" xfId="1" applyFont="1" applyFill="1" applyBorder="1" applyAlignment="1">
      <alignment horizontal="center" vertical="center"/>
    </xf>
    <xf numFmtId="0" fontId="12" fillId="4" borderId="771" xfId="1" applyFont="1" applyFill="1" applyBorder="1" applyAlignment="1">
      <alignment horizontal="center" vertical="center" wrapText="1"/>
    </xf>
    <xf numFmtId="3" fontId="12" fillId="17" borderId="1144" xfId="1" applyNumberFormat="1" applyFont="1" applyFill="1" applyBorder="1" applyAlignment="1">
      <alignment horizontal="right" vertical="center"/>
    </xf>
    <xf numFmtId="3" fontId="8" fillId="0" borderId="1098" xfId="1" applyNumberFormat="1" applyFont="1" applyBorder="1" applyAlignment="1">
      <alignment horizontal="right" vertical="center"/>
    </xf>
    <xf numFmtId="0" fontId="74" fillId="0" borderId="1129" xfId="1" applyFont="1" applyFill="1" applyBorder="1" applyAlignment="1">
      <alignment horizontal="center" vertical="center"/>
    </xf>
    <xf numFmtId="3" fontId="7" fillId="0" borderId="1098" xfId="1" applyNumberFormat="1" applyFont="1" applyBorder="1" applyAlignment="1">
      <alignment horizontal="right" vertical="center"/>
    </xf>
    <xf numFmtId="3" fontId="12" fillId="17" borderId="1098" xfId="1" applyNumberFormat="1" applyFont="1" applyFill="1" applyBorder="1" applyAlignment="1">
      <alignment horizontal="right" vertical="center"/>
    </xf>
    <xf numFmtId="3" fontId="18" fillId="17" borderId="0" xfId="1" applyNumberFormat="1" applyFont="1" applyFill="1" applyAlignment="1">
      <alignment vertical="center"/>
    </xf>
    <xf numFmtId="0" fontId="7" fillId="0" borderId="1134" xfId="1" applyFont="1" applyBorder="1" applyAlignment="1">
      <alignment horizontal="center" vertical="center"/>
    </xf>
    <xf numFmtId="0" fontId="74" fillId="0" borderId="1134" xfId="1" applyFont="1" applyFill="1" applyBorder="1" applyAlignment="1">
      <alignment horizontal="center" vertical="center"/>
    </xf>
    <xf numFmtId="3" fontId="7" fillId="0" borderId="1138" xfId="1" applyNumberFormat="1" applyFont="1" applyBorder="1" applyAlignment="1">
      <alignment horizontal="right" vertical="center"/>
    </xf>
    <xf numFmtId="3" fontId="12" fillId="4" borderId="771" xfId="1" applyNumberFormat="1" applyFont="1" applyFill="1" applyBorder="1" applyAlignment="1">
      <alignment horizontal="right" vertical="center"/>
    </xf>
    <xf numFmtId="49" fontId="18" fillId="0" borderId="0" xfId="1" applyNumberFormat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68" fillId="0" borderId="0" xfId="1" applyFont="1" applyAlignment="1">
      <alignment vertical="center"/>
    </xf>
    <xf numFmtId="0" fontId="12" fillId="4" borderId="1134" xfId="1" applyFont="1" applyFill="1" applyBorder="1" applyAlignment="1">
      <alignment horizontal="center" vertical="center" wrapText="1"/>
    </xf>
    <xf numFmtId="0" fontId="73" fillId="18" borderId="1141" xfId="1" applyFont="1" applyFill="1" applyBorder="1" applyAlignment="1">
      <alignment horizontal="center" vertical="center"/>
    </xf>
    <xf numFmtId="3" fontId="12" fillId="18" borderId="1141" xfId="1" applyNumberFormat="1" applyFont="1" applyFill="1" applyBorder="1" applyAlignment="1">
      <alignment horizontal="right" vertical="center"/>
    </xf>
    <xf numFmtId="3" fontId="12" fillId="18" borderId="1095" xfId="1" applyNumberFormat="1" applyFont="1" applyFill="1" applyBorder="1" applyAlignment="1">
      <alignment horizontal="right" vertical="center"/>
    </xf>
    <xf numFmtId="0" fontId="12" fillId="0" borderId="1129" xfId="1" applyFont="1" applyFill="1" applyBorder="1" applyAlignment="1">
      <alignment horizontal="center" vertical="center" wrapText="1"/>
    </xf>
    <xf numFmtId="3" fontId="12" fillId="0" borderId="1129" xfId="1" applyNumberFormat="1" applyFont="1" applyFill="1" applyBorder="1" applyAlignment="1">
      <alignment horizontal="right" vertical="center"/>
    </xf>
    <xf numFmtId="3" fontId="12" fillId="0" borderId="1098" xfId="1" applyNumberFormat="1" applyFont="1" applyFill="1" applyBorder="1" applyAlignment="1">
      <alignment horizontal="right" vertical="center"/>
    </xf>
    <xf numFmtId="0" fontId="8" fillId="0" borderId="1129" xfId="1" applyFont="1" applyFill="1" applyBorder="1" applyAlignment="1">
      <alignment horizontal="center" vertical="center" wrapText="1"/>
    </xf>
    <xf numFmtId="3" fontId="8" fillId="0" borderId="1129" xfId="1" applyNumberFormat="1" applyFont="1" applyFill="1" applyBorder="1" applyAlignment="1">
      <alignment horizontal="right" vertical="center"/>
    </xf>
    <xf numFmtId="3" fontId="8" fillId="0" borderId="1098" xfId="1" applyNumberFormat="1" applyFont="1" applyFill="1" applyBorder="1" applyAlignment="1">
      <alignment horizontal="right" vertical="center"/>
    </xf>
    <xf numFmtId="49" fontId="73" fillId="18" borderId="1129" xfId="1" applyNumberFormat="1" applyFont="1" applyFill="1" applyBorder="1" applyAlignment="1">
      <alignment horizontal="center" vertical="center"/>
    </xf>
    <xf numFmtId="3" fontId="12" fillId="18" borderId="1129" xfId="1" applyNumberFormat="1" applyFont="1" applyFill="1" applyBorder="1" applyAlignment="1">
      <alignment horizontal="right" vertical="center"/>
    </xf>
    <xf numFmtId="3" fontId="12" fillId="18" borderId="1098" xfId="1" applyNumberFormat="1" applyFont="1" applyFill="1" applyBorder="1" applyAlignment="1">
      <alignment horizontal="right" vertical="center"/>
    </xf>
    <xf numFmtId="49" fontId="12" fillId="0" borderId="1129" xfId="1" applyNumberFormat="1" applyFont="1" applyFill="1" applyBorder="1" applyAlignment="1">
      <alignment horizontal="center" vertical="center"/>
    </xf>
    <xf numFmtId="3" fontId="73" fillId="0" borderId="1129" xfId="1" applyNumberFormat="1" applyFont="1" applyFill="1" applyBorder="1" applyAlignment="1">
      <alignment horizontal="right" vertical="center"/>
    </xf>
    <xf numFmtId="3" fontId="73" fillId="0" borderId="1098" xfId="1" applyNumberFormat="1" applyFont="1" applyFill="1" applyBorder="1" applyAlignment="1">
      <alignment horizontal="right" vertical="center"/>
    </xf>
    <xf numFmtId="0" fontId="12" fillId="18" borderId="1129" xfId="1" applyFont="1" applyFill="1" applyBorder="1" applyAlignment="1">
      <alignment horizontal="center" vertical="center"/>
    </xf>
    <xf numFmtId="49" fontId="12" fillId="18" borderId="1129" xfId="1" applyNumberFormat="1" applyFont="1" applyFill="1" applyBorder="1" applyAlignment="1">
      <alignment horizontal="center" vertical="center"/>
    </xf>
    <xf numFmtId="3" fontId="18" fillId="16" borderId="0" xfId="1" applyNumberFormat="1" applyFont="1" applyFill="1" applyAlignment="1">
      <alignment horizontal="center" vertical="center"/>
    </xf>
    <xf numFmtId="0" fontId="18" fillId="16" borderId="0" xfId="1" applyFont="1" applyFill="1" applyAlignment="1">
      <alignment horizontal="center" vertical="center"/>
    </xf>
    <xf numFmtId="3" fontId="75" fillId="0" borderId="1129" xfId="1" applyNumberFormat="1" applyFont="1" applyFill="1" applyBorder="1" applyAlignment="1">
      <alignment horizontal="right" vertical="center"/>
    </xf>
    <xf numFmtId="3" fontId="75" fillId="0" borderId="1098" xfId="1" applyNumberFormat="1" applyFont="1" applyFill="1" applyBorder="1" applyAlignment="1">
      <alignment horizontal="right" vertical="center"/>
    </xf>
    <xf numFmtId="3" fontId="8" fillId="16" borderId="0" xfId="1" applyNumberFormat="1" applyFont="1" applyFill="1" applyAlignment="1">
      <alignment horizontal="center" vertical="center"/>
    </xf>
    <xf numFmtId="0" fontId="8" fillId="16" borderId="0" xfId="1" applyFont="1" applyFill="1" applyAlignment="1">
      <alignment horizontal="center" vertical="center"/>
    </xf>
    <xf numFmtId="0" fontId="12" fillId="18" borderId="1141" xfId="1" applyFont="1" applyFill="1" applyBorder="1" applyAlignment="1">
      <alignment horizontal="center" vertical="center" wrapText="1"/>
    </xf>
    <xf numFmtId="0" fontId="12" fillId="0" borderId="1129" xfId="1" applyFont="1" applyFill="1" applyBorder="1" applyAlignment="1">
      <alignment horizontal="center" vertical="center"/>
    </xf>
    <xf numFmtId="0" fontId="8" fillId="0" borderId="1129" xfId="1" applyFont="1" applyFill="1" applyBorder="1" applyAlignment="1">
      <alignment horizontal="center" vertical="center"/>
    </xf>
    <xf numFmtId="0" fontId="8" fillId="0" borderId="1130" xfId="1" applyFont="1" applyFill="1" applyBorder="1" applyAlignment="1">
      <alignment horizontal="center" vertical="center"/>
    </xf>
    <xf numFmtId="3" fontId="8" fillId="0" borderId="1130" xfId="1" applyNumberFormat="1" applyFont="1" applyFill="1" applyBorder="1" applyAlignment="1">
      <alignment horizontal="right" vertical="center"/>
    </xf>
    <xf numFmtId="3" fontId="8" fillId="0" borderId="1147" xfId="1" applyNumberFormat="1" applyFont="1" applyFill="1" applyBorder="1" applyAlignment="1">
      <alignment horizontal="right" vertical="center"/>
    </xf>
    <xf numFmtId="0" fontId="8" fillId="0" borderId="1134" xfId="1" applyFont="1" applyFill="1" applyBorder="1" applyAlignment="1">
      <alignment horizontal="center" vertical="center" wrapText="1"/>
    </xf>
    <xf numFmtId="3" fontId="8" fillId="0" borderId="1134" xfId="1" applyNumberFormat="1" applyFont="1" applyFill="1" applyBorder="1" applyAlignment="1">
      <alignment horizontal="right" vertical="center"/>
    </xf>
    <xf numFmtId="3" fontId="8" fillId="0" borderId="1138" xfId="1" applyNumberFormat="1" applyFont="1" applyFill="1" applyBorder="1" applyAlignment="1">
      <alignment horizontal="right" vertical="center"/>
    </xf>
    <xf numFmtId="49" fontId="12" fillId="4" borderId="82" xfId="1" applyNumberFormat="1" applyFont="1" applyFill="1" applyBorder="1" applyAlignment="1">
      <alignment horizontal="center" vertical="center"/>
    </xf>
    <xf numFmtId="3" fontId="12" fillId="4" borderId="82" xfId="1" applyNumberFormat="1" applyFont="1" applyFill="1" applyBorder="1" applyAlignment="1">
      <alignment horizontal="right" vertical="center"/>
    </xf>
    <xf numFmtId="49" fontId="18" fillId="0" borderId="0" xfId="1" applyNumberFormat="1" applyFont="1" applyAlignment="1">
      <alignment horizontal="center" vertical="top"/>
    </xf>
    <xf numFmtId="49" fontId="76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center" vertical="top"/>
    </xf>
    <xf numFmtId="0" fontId="76" fillId="0" borderId="0" xfId="1" applyFont="1" applyAlignment="1">
      <alignment horizontal="center" vertical="center"/>
    </xf>
    <xf numFmtId="0" fontId="65" fillId="0" borderId="0" xfId="1" applyFont="1" applyAlignment="1">
      <alignment horizontal="center" vertical="top"/>
    </xf>
    <xf numFmtId="0" fontId="15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9" fillId="3" borderId="1127" xfId="1" applyFont="1" applyFill="1" applyBorder="1" applyAlignment="1">
      <alignment horizontal="center" vertical="center" wrapText="1"/>
    </xf>
    <xf numFmtId="0" fontId="9" fillId="3" borderId="1147" xfId="1" applyFont="1" applyFill="1" applyBorder="1" applyAlignment="1">
      <alignment horizontal="center" vertical="center" wrapText="1"/>
    </xf>
    <xf numFmtId="3" fontId="9" fillId="4" borderId="4" xfId="1" applyNumberFormat="1" applyFont="1" applyFill="1" applyBorder="1" applyAlignment="1">
      <alignment horizontal="right" vertical="center"/>
    </xf>
    <xf numFmtId="3" fontId="9" fillId="4" borderId="21" xfId="1" applyNumberFormat="1" applyFont="1" applyFill="1" applyBorder="1" applyAlignment="1">
      <alignment horizontal="right" vertical="center"/>
    </xf>
    <xf numFmtId="3" fontId="9" fillId="4" borderId="771" xfId="1" applyNumberFormat="1" applyFont="1" applyFill="1" applyBorder="1" applyAlignment="1">
      <alignment horizontal="right" vertical="center"/>
    </xf>
    <xf numFmtId="3" fontId="8" fillId="0" borderId="16" xfId="1" applyNumberFormat="1" applyFont="1" applyBorder="1" applyAlignment="1">
      <alignment horizontal="right" vertical="center"/>
    </xf>
    <xf numFmtId="3" fontId="8" fillId="0" borderId="1120" xfId="1" applyNumberFormat="1" applyFont="1" applyBorder="1" applyAlignment="1">
      <alignment horizontal="right" vertical="center"/>
    </xf>
    <xf numFmtId="3" fontId="8" fillId="0" borderId="1075" xfId="1" applyNumberFormat="1" applyFont="1" applyBorder="1" applyAlignment="1">
      <alignment horizontal="right" vertical="center"/>
    </xf>
    <xf numFmtId="0" fontId="7" fillId="0" borderId="1127" xfId="1" applyFont="1" applyBorder="1" applyAlignment="1">
      <alignment horizontal="center" vertical="center"/>
    </xf>
    <xf numFmtId="49" fontId="8" fillId="18" borderId="1128" xfId="1" applyNumberFormat="1" applyFont="1" applyFill="1" applyBorder="1" applyAlignment="1">
      <alignment horizontal="center" vertical="center" wrapText="1"/>
    </xf>
    <xf numFmtId="3" fontId="7" fillId="0" borderId="1131" xfId="1" applyNumberFormat="1" applyFont="1" applyBorder="1" applyAlignment="1">
      <alignment horizontal="right" vertical="center"/>
    </xf>
    <xf numFmtId="3" fontId="74" fillId="0" borderId="1147" xfId="1" applyNumberFormat="1" applyFont="1" applyBorder="1" applyAlignment="1">
      <alignment vertical="center"/>
    </xf>
    <xf numFmtId="0" fontId="7" fillId="0" borderId="1132" xfId="1" applyFont="1" applyBorder="1" applyAlignment="1">
      <alignment horizontal="center" vertical="center"/>
    </xf>
    <xf numFmtId="49" fontId="8" fillId="18" borderId="1138" xfId="1" applyNumberFormat="1" applyFont="1" applyFill="1" applyBorder="1" applyAlignment="1">
      <alignment horizontal="center" vertical="center" wrapText="1"/>
    </xf>
    <xf numFmtId="3" fontId="74" fillId="0" borderId="1125" xfId="1" applyNumberFormat="1" applyFont="1" applyBorder="1" applyAlignment="1">
      <alignment horizontal="right" vertical="center"/>
    </xf>
    <xf numFmtId="3" fontId="7" fillId="0" borderId="1138" xfId="1" applyNumberFormat="1" applyFont="1" applyBorder="1" applyAlignment="1">
      <alignment vertical="center"/>
    </xf>
    <xf numFmtId="0" fontId="7" fillId="0" borderId="1125" xfId="1" applyFont="1" applyBorder="1" applyAlignment="1">
      <alignment horizontal="center" vertical="center"/>
    </xf>
    <xf numFmtId="49" fontId="8" fillId="18" borderId="1133" xfId="1" applyNumberFormat="1" applyFont="1" applyFill="1" applyBorder="1" applyAlignment="1">
      <alignment horizontal="center" vertical="center" wrapText="1"/>
    </xf>
    <xf numFmtId="3" fontId="8" fillId="0" borderId="8" xfId="1" applyNumberFormat="1" applyFont="1" applyBorder="1" applyAlignment="1">
      <alignment horizontal="right" vertical="center"/>
    </xf>
    <xf numFmtId="3" fontId="12" fillId="3" borderId="4" xfId="1" applyNumberFormat="1" applyFont="1" applyFill="1" applyBorder="1" applyAlignment="1">
      <alignment horizontal="right" vertical="center"/>
    </xf>
    <xf numFmtId="3" fontId="12" fillId="3" borderId="21" xfId="1" applyNumberFormat="1" applyFont="1" applyFill="1" applyBorder="1" applyAlignment="1">
      <alignment horizontal="right" vertical="center"/>
    </xf>
    <xf numFmtId="3" fontId="12" fillId="3" borderId="12" xfId="1" applyNumberFormat="1" applyFont="1" applyFill="1" applyBorder="1" applyAlignment="1">
      <alignment horizontal="right" vertical="center"/>
    </xf>
    <xf numFmtId="49" fontId="65" fillId="0" borderId="0" xfId="1" applyNumberFormat="1" applyFont="1" applyBorder="1" applyAlignment="1">
      <alignment horizontal="center" vertical="top"/>
    </xf>
    <xf numFmtId="49" fontId="76" fillId="0" borderId="0" xfId="1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3" fontId="77" fillId="0" borderId="0" xfId="1" applyNumberFormat="1" applyFont="1" applyBorder="1" applyAlignment="1">
      <alignment horizontal="right" vertical="center"/>
    </xf>
    <xf numFmtId="3" fontId="18" fillId="0" borderId="0" xfId="1" applyNumberFormat="1" applyFont="1" applyBorder="1" applyAlignment="1">
      <alignment horizontal="center" vertical="center"/>
    </xf>
    <xf numFmtId="49" fontId="65" fillId="0" borderId="0" xfId="1" applyNumberFormat="1" applyFont="1" applyAlignment="1">
      <alignment horizontal="center" vertical="top"/>
    </xf>
    <xf numFmtId="0" fontId="7" fillId="0" borderId="0" xfId="2" applyFont="1"/>
    <xf numFmtId="0" fontId="6" fillId="0" borderId="0" xfId="2"/>
    <xf numFmtId="0" fontId="11" fillId="2" borderId="4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3" fontId="12" fillId="4" borderId="4" xfId="2" applyNumberFormat="1" applyFont="1" applyFill="1" applyBorder="1" applyAlignment="1">
      <alignment horizontal="right"/>
    </xf>
    <xf numFmtId="3" fontId="12" fillId="4" borderId="12" xfId="2" applyNumberFormat="1" applyFont="1" applyFill="1" applyBorder="1" applyAlignment="1">
      <alignment horizontal="right"/>
    </xf>
    <xf numFmtId="0" fontId="7" fillId="0" borderId="17" xfId="2" applyFont="1" applyBorder="1" applyAlignment="1">
      <alignment horizontal="center" vertical="center"/>
    </xf>
    <xf numFmtId="0" fontId="7" fillId="0" borderId="0" xfId="15" applyFont="1" applyFill="1" applyBorder="1" applyAlignment="1">
      <alignment wrapText="1"/>
    </xf>
    <xf numFmtId="3" fontId="7" fillId="0" borderId="15" xfId="2" applyNumberFormat="1" applyFont="1" applyBorder="1" applyAlignment="1">
      <alignment vertical="center"/>
    </xf>
    <xf numFmtId="3" fontId="7" fillId="0" borderId="5" xfId="2" applyNumberFormat="1" applyFont="1" applyBorder="1" applyAlignment="1">
      <alignment vertical="center"/>
    </xf>
    <xf numFmtId="3" fontId="6" fillId="0" borderId="0" xfId="2" applyNumberFormat="1"/>
    <xf numFmtId="0" fontId="7" fillId="0" borderId="7" xfId="2" applyFont="1" applyBorder="1" applyAlignment="1">
      <alignment horizontal="center" vertical="center"/>
    </xf>
    <xf numFmtId="0" fontId="7" fillId="0" borderId="692" xfId="15" applyFont="1" applyBorder="1" applyAlignment="1">
      <alignment wrapText="1"/>
    </xf>
    <xf numFmtId="3" fontId="7" fillId="0" borderId="1131" xfId="2" applyNumberFormat="1" applyFont="1" applyBorder="1" applyAlignment="1">
      <alignment vertical="center"/>
    </xf>
    <xf numFmtId="3" fontId="7" fillId="0" borderId="1148" xfId="2" applyNumberFormat="1" applyFont="1" applyBorder="1" applyAlignment="1">
      <alignment vertical="center"/>
    </xf>
    <xf numFmtId="3" fontId="12" fillId="4" borderId="4" xfId="2" applyNumberFormat="1" applyFont="1" applyFill="1" applyBorder="1" applyAlignment="1">
      <alignment vertical="center"/>
    </xf>
    <xf numFmtId="3" fontId="12" fillId="4" borderId="12" xfId="2" applyNumberFormat="1" applyFont="1" applyFill="1" applyBorder="1" applyAlignment="1">
      <alignment vertical="center"/>
    </xf>
    <xf numFmtId="0" fontId="7" fillId="0" borderId="8" xfId="2" applyFont="1" applyBorder="1" applyAlignment="1">
      <alignment horizontal="center" vertical="center"/>
    </xf>
    <xf numFmtId="0" fontId="7" fillId="0" borderId="1119" xfId="15" applyFont="1" applyBorder="1" applyAlignment="1">
      <alignment vertical="center" wrapText="1"/>
    </xf>
    <xf numFmtId="3" fontId="7" fillId="0" borderId="16" xfId="2" applyNumberFormat="1" applyFont="1" applyBorder="1" applyAlignment="1">
      <alignment vertical="center"/>
    </xf>
    <xf numFmtId="3" fontId="7" fillId="0" borderId="1075" xfId="2" applyNumberFormat="1" applyFont="1" applyBorder="1" applyAlignment="1">
      <alignment vertical="center"/>
    </xf>
    <xf numFmtId="0" fontId="7" fillId="0" borderId="1068" xfId="2" applyFont="1" applyBorder="1" applyAlignment="1">
      <alignment horizontal="center" vertical="center"/>
    </xf>
    <xf numFmtId="0" fontId="7" fillId="0" borderId="1150" xfId="15" applyFont="1" applyBorder="1" applyAlignment="1">
      <alignment vertical="center" wrapText="1"/>
    </xf>
    <xf numFmtId="3" fontId="7" fillId="0" borderId="1068" xfId="2" applyNumberFormat="1" applyFont="1" applyBorder="1" applyAlignment="1">
      <alignment vertical="center"/>
    </xf>
    <xf numFmtId="3" fontId="7" fillId="0" borderId="1064" xfId="2" applyNumberFormat="1" applyFont="1" applyBorder="1" applyAlignment="1">
      <alignment vertical="center"/>
    </xf>
    <xf numFmtId="0" fontId="7" fillId="0" borderId="692" xfId="15" applyFont="1" applyBorder="1" applyAlignment="1">
      <alignment vertical="center" wrapText="1"/>
    </xf>
    <xf numFmtId="3" fontId="6" fillId="0" borderId="0" xfId="2" applyNumberFormat="1" applyFont="1"/>
    <xf numFmtId="0" fontId="79" fillId="0" borderId="0" xfId="2" applyFont="1"/>
    <xf numFmtId="0" fontId="7" fillId="0" borderId="4" xfId="2" applyFont="1" applyFill="1" applyBorder="1" applyAlignment="1">
      <alignment horizontal="center"/>
    </xf>
    <xf numFmtId="0" fontId="7" fillId="0" borderId="0" xfId="2" applyFont="1" applyBorder="1"/>
    <xf numFmtId="0" fontId="7" fillId="0" borderId="1119" xfId="15" applyFont="1" applyBorder="1"/>
    <xf numFmtId="0" fontId="7" fillId="0" borderId="1150" xfId="15" applyFont="1" applyBorder="1"/>
    <xf numFmtId="3" fontId="79" fillId="0" borderId="0" xfId="2" applyNumberFormat="1" applyFont="1"/>
    <xf numFmtId="0" fontId="7" fillId="0" borderId="692" xfId="15" applyFont="1" applyBorder="1"/>
    <xf numFmtId="0" fontId="7" fillId="0" borderId="4" xfId="2" applyFont="1" applyBorder="1" applyAlignment="1">
      <alignment horizontal="center" vertical="center"/>
    </xf>
    <xf numFmtId="0" fontId="7" fillId="0" borderId="1119" xfId="15" applyFont="1" applyBorder="1" applyAlignment="1">
      <alignment wrapText="1"/>
    </xf>
    <xf numFmtId="3" fontId="11" fillId="2" borderId="4" xfId="2" applyNumberFormat="1" applyFont="1" applyFill="1" applyBorder="1" applyAlignment="1">
      <alignment vertical="center"/>
    </xf>
    <xf numFmtId="0" fontId="77" fillId="0" borderId="0" xfId="2" applyFont="1" applyBorder="1" applyAlignment="1">
      <alignment horizontal="center"/>
    </xf>
    <xf numFmtId="3" fontId="80" fillId="0" borderId="0" xfId="2" applyNumberFormat="1" applyFont="1" applyBorder="1"/>
    <xf numFmtId="0" fontId="18" fillId="0" borderId="0" xfId="2" applyFont="1" applyBorder="1" applyAlignment="1">
      <alignment horizontal="center"/>
    </xf>
    <xf numFmtId="0" fontId="18" fillId="0" borderId="0" xfId="15" applyFont="1" applyBorder="1" applyAlignment="1">
      <alignment wrapText="1"/>
    </xf>
    <xf numFmtId="3" fontId="18" fillId="0" borderId="0" xfId="2" applyNumberFormat="1" applyFont="1" applyBorder="1"/>
    <xf numFmtId="0" fontId="16" fillId="0" borderId="0" xfId="1" applyFont="1" applyBorder="1" applyAlignment="1">
      <alignment horizontal="center" vertical="center" wrapText="1"/>
    </xf>
    <xf numFmtId="0" fontId="81" fillId="0" borderId="0" xfId="1" applyFont="1" applyAlignment="1">
      <alignment vertical="center" wrapText="1"/>
    </xf>
    <xf numFmtId="0" fontId="85" fillId="19" borderId="1129" xfId="1" applyFont="1" applyFill="1" applyBorder="1" applyAlignment="1">
      <alignment horizontal="center" vertical="center" wrapText="1"/>
    </xf>
    <xf numFmtId="0" fontId="85" fillId="19" borderId="1106" xfId="1" applyFont="1" applyFill="1" applyBorder="1" applyAlignment="1">
      <alignment horizontal="center" vertical="center" wrapText="1"/>
    </xf>
    <xf numFmtId="49" fontId="86" fillId="19" borderId="1142" xfId="1" applyNumberFormat="1" applyFont="1" applyFill="1" applyBorder="1" applyAlignment="1">
      <alignment horizontal="center" vertical="center"/>
    </xf>
    <xf numFmtId="49" fontId="86" fillId="19" borderId="1129" xfId="1" applyNumberFormat="1" applyFont="1" applyFill="1" applyBorder="1" applyAlignment="1">
      <alignment horizontal="center" vertical="center"/>
    </xf>
    <xf numFmtId="0" fontId="15" fillId="19" borderId="1129" xfId="1" applyFont="1" applyFill="1" applyBorder="1" applyAlignment="1">
      <alignment horizontal="center" vertical="center"/>
    </xf>
    <xf numFmtId="0" fontId="15" fillId="19" borderId="1106" xfId="1" applyFont="1" applyFill="1" applyBorder="1" applyAlignment="1">
      <alignment horizontal="center" vertical="center"/>
    </xf>
    <xf numFmtId="0" fontId="5" fillId="0" borderId="0" xfId="1" applyFill="1"/>
    <xf numFmtId="49" fontId="9" fillId="20" borderId="1142" xfId="1" applyNumberFormat="1" applyFont="1" applyFill="1" applyBorder="1" applyAlignment="1">
      <alignment horizontal="center" vertical="center"/>
    </xf>
    <xf numFmtId="3" fontId="12" fillId="20" borderId="1129" xfId="1" applyNumberFormat="1" applyFont="1" applyFill="1" applyBorder="1" applyAlignment="1">
      <alignment vertical="center"/>
    </xf>
    <xf numFmtId="3" fontId="12" fillId="20" borderId="1106" xfId="1" applyNumberFormat="1" applyFont="1" applyFill="1" applyBorder="1" applyAlignment="1">
      <alignment vertical="center"/>
    </xf>
    <xf numFmtId="49" fontId="83" fillId="14" borderId="1129" xfId="1" applyNumberFormat="1" applyFont="1" applyFill="1" applyBorder="1" applyAlignment="1">
      <alignment horizontal="center" vertical="center" wrapText="1"/>
    </xf>
    <xf numFmtId="3" fontId="87" fillId="14" borderId="1129" xfId="1" applyNumberFormat="1" applyFont="1" applyFill="1" applyBorder="1" applyAlignment="1">
      <alignment vertical="center"/>
    </xf>
    <xf numFmtId="3" fontId="87" fillId="14" borderId="1106" xfId="1" applyNumberFormat="1" applyFont="1" applyFill="1" applyBorder="1" applyAlignment="1">
      <alignment vertical="center"/>
    </xf>
    <xf numFmtId="0" fontId="82" fillId="0" borderId="0" xfId="1" applyFont="1" applyFill="1"/>
    <xf numFmtId="3" fontId="88" fillId="0" borderId="0" xfId="1" applyNumberFormat="1" applyFont="1" applyFill="1"/>
    <xf numFmtId="0" fontId="88" fillId="0" borderId="0" xfId="1" applyFont="1" applyFill="1"/>
    <xf numFmtId="0" fontId="88" fillId="0" borderId="0" xfId="1" applyFont="1"/>
    <xf numFmtId="49" fontId="89" fillId="8" borderId="1129" xfId="1" applyNumberFormat="1" applyFont="1" applyFill="1" applyBorder="1" applyAlignment="1">
      <alignment horizontal="center" vertical="center" wrapText="1"/>
    </xf>
    <xf numFmtId="3" fontId="90" fillId="8" borderId="1129" xfId="1" applyNumberFormat="1" applyFont="1" applyFill="1" applyBorder="1" applyAlignment="1">
      <alignment vertical="center"/>
    </xf>
    <xf numFmtId="3" fontId="90" fillId="8" borderId="1106" xfId="1" applyNumberFormat="1" applyFont="1" applyFill="1" applyBorder="1" applyAlignment="1">
      <alignment vertical="center"/>
    </xf>
    <xf numFmtId="49" fontId="78" fillId="0" borderId="1129" xfId="1" applyNumberFormat="1" applyFont="1" applyFill="1" applyBorder="1" applyAlignment="1">
      <alignment horizontal="center" vertical="center"/>
    </xf>
    <xf numFmtId="3" fontId="78" fillId="0" borderId="1129" xfId="1" applyNumberFormat="1" applyFont="1" applyFill="1" applyBorder="1" applyAlignment="1">
      <alignment vertical="center"/>
    </xf>
    <xf numFmtId="3" fontId="78" fillId="0" borderId="1106" xfId="1" applyNumberFormat="1" applyFont="1" applyFill="1" applyBorder="1" applyAlignment="1">
      <alignment vertical="center"/>
    </xf>
    <xf numFmtId="49" fontId="89" fillId="8" borderId="1129" xfId="1" applyNumberFormat="1" applyFont="1" applyFill="1" applyBorder="1" applyAlignment="1">
      <alignment horizontal="center" vertical="center"/>
    </xf>
    <xf numFmtId="0" fontId="78" fillId="0" borderId="1129" xfId="1" applyFont="1" applyFill="1" applyBorder="1" applyAlignment="1">
      <alignment vertical="center"/>
    </xf>
    <xf numFmtId="0" fontId="78" fillId="0" borderId="1129" xfId="1" applyFont="1" applyFill="1" applyBorder="1" applyAlignment="1">
      <alignment horizontal="center" vertical="center"/>
    </xf>
    <xf numFmtId="3" fontId="82" fillId="0" borderId="0" xfId="1" applyNumberFormat="1" applyFont="1" applyFill="1"/>
    <xf numFmtId="3" fontId="88" fillId="0" borderId="0" xfId="1" applyNumberFormat="1" applyFont="1"/>
    <xf numFmtId="49" fontId="14" fillId="0" borderId="1129" xfId="1" applyNumberFormat="1" applyFont="1" applyFill="1" applyBorder="1" applyAlignment="1">
      <alignment horizontal="center" vertical="center" wrapText="1"/>
    </xf>
    <xf numFmtId="3" fontId="13" fillId="0" borderId="1129" xfId="1" applyNumberFormat="1" applyFont="1" applyFill="1" applyBorder="1" applyAlignment="1">
      <alignment vertical="center"/>
    </xf>
    <xf numFmtId="3" fontId="13" fillId="0" borderId="1106" xfId="1" applyNumberFormat="1" applyFont="1" applyFill="1" applyBorder="1" applyAlignment="1">
      <alignment vertical="center"/>
    </xf>
    <xf numFmtId="49" fontId="78" fillId="0" borderId="1142" xfId="1" applyNumberFormat="1" applyFont="1" applyFill="1" applyBorder="1" applyAlignment="1">
      <alignment vertical="center"/>
    </xf>
    <xf numFmtId="0" fontId="13" fillId="0" borderId="1129" xfId="1" applyFont="1" applyFill="1" applyBorder="1" applyAlignment="1">
      <alignment vertical="center" wrapText="1"/>
    </xf>
    <xf numFmtId="49" fontId="78" fillId="0" borderId="1129" xfId="1" applyNumberFormat="1" applyFont="1" applyFill="1" applyBorder="1" applyAlignment="1">
      <alignment vertical="center"/>
    </xf>
    <xf numFmtId="0" fontId="78" fillId="0" borderId="1129" xfId="1" applyFont="1" applyBorder="1" applyAlignment="1">
      <alignment horizontal="center" vertical="center"/>
    </xf>
    <xf numFmtId="49" fontId="91" fillId="0" borderId="1142" xfId="1" applyNumberFormat="1" applyFont="1" applyFill="1" applyBorder="1" applyAlignment="1">
      <alignment vertical="center"/>
    </xf>
    <xf numFmtId="0" fontId="92" fillId="0" borderId="1129" xfId="1" applyFont="1" applyFill="1" applyBorder="1" applyAlignment="1">
      <alignment vertical="center" wrapText="1"/>
    </xf>
    <xf numFmtId="0" fontId="91" fillId="0" borderId="1129" xfId="1" applyFont="1" applyFill="1" applyBorder="1" applyAlignment="1">
      <alignment vertical="center"/>
    </xf>
    <xf numFmtId="49" fontId="91" fillId="0" borderId="1129" xfId="1" applyNumberFormat="1" applyFont="1" applyFill="1" applyBorder="1" applyAlignment="1">
      <alignment vertical="center"/>
    </xf>
    <xf numFmtId="49" fontId="91" fillId="0" borderId="1129" xfId="1" applyNumberFormat="1" applyFont="1" applyFill="1" applyBorder="1" applyAlignment="1">
      <alignment horizontal="center" vertical="center"/>
    </xf>
    <xf numFmtId="3" fontId="91" fillId="0" borderId="1129" xfId="1" applyNumberFormat="1" applyFont="1" applyFill="1" applyBorder="1" applyAlignment="1">
      <alignment vertical="center"/>
    </xf>
    <xf numFmtId="3" fontId="91" fillId="0" borderId="1106" xfId="1" applyNumberFormat="1" applyFont="1" applyFill="1" applyBorder="1" applyAlignment="1">
      <alignment vertical="center"/>
    </xf>
    <xf numFmtId="0" fontId="91" fillId="0" borderId="1129" xfId="1" applyFont="1" applyFill="1" applyBorder="1" applyAlignment="1">
      <alignment vertical="center" wrapText="1"/>
    </xf>
    <xf numFmtId="49" fontId="93" fillId="14" borderId="1129" xfId="1" applyNumberFormat="1" applyFont="1" applyFill="1" applyBorder="1" applyAlignment="1">
      <alignment horizontal="center" vertical="center" wrapText="1"/>
    </xf>
    <xf numFmtId="3" fontId="94" fillId="14" borderId="1129" xfId="1" applyNumberFormat="1" applyFont="1" applyFill="1" applyBorder="1" applyAlignment="1">
      <alignment vertical="center"/>
    </xf>
    <xf numFmtId="3" fontId="94" fillId="14" borderId="1106" xfId="1" applyNumberFormat="1" applyFont="1" applyFill="1" applyBorder="1" applyAlignment="1">
      <alignment vertical="center"/>
    </xf>
    <xf numFmtId="49" fontId="95" fillId="8" borderId="1129" xfId="1" applyNumberFormat="1" applyFont="1" applyFill="1" applyBorder="1" applyAlignment="1">
      <alignment horizontal="center" vertical="center" wrapText="1"/>
    </xf>
    <xf numFmtId="3" fontId="96" fillId="8" borderId="1129" xfId="1" applyNumberFormat="1" applyFont="1" applyFill="1" applyBorder="1" applyAlignment="1">
      <alignment vertical="center"/>
    </xf>
    <xf numFmtId="3" fontId="96" fillId="8" borderId="1106" xfId="1" applyNumberFormat="1" applyFont="1" applyFill="1" applyBorder="1" applyAlignment="1">
      <alignment vertical="center"/>
    </xf>
    <xf numFmtId="49" fontId="81" fillId="0" borderId="1129" xfId="1" applyNumberFormat="1" applyFont="1" applyFill="1" applyBorder="1" applyAlignment="1">
      <alignment horizontal="center" vertical="center" wrapText="1"/>
    </xf>
    <xf numFmtId="3" fontId="92" fillId="0" borderId="1129" xfId="1" applyNumberFormat="1" applyFont="1" applyFill="1" applyBorder="1" applyAlignment="1">
      <alignment vertical="center"/>
    </xf>
    <xf numFmtId="3" fontId="92" fillId="0" borderId="1106" xfId="1" applyNumberFormat="1" applyFont="1" applyFill="1" applyBorder="1" applyAlignment="1">
      <alignment vertical="center"/>
    </xf>
    <xf numFmtId="49" fontId="95" fillId="8" borderId="1129" xfId="1" applyNumberFormat="1" applyFont="1" applyFill="1" applyBorder="1" applyAlignment="1">
      <alignment horizontal="center" vertical="center"/>
    </xf>
    <xf numFmtId="0" fontId="91" fillId="0" borderId="1129" xfId="1" applyFont="1" applyBorder="1" applyAlignment="1">
      <alignment horizontal="center" vertical="center"/>
    </xf>
    <xf numFmtId="0" fontId="82" fillId="0" borderId="0" xfId="1" applyFont="1"/>
    <xf numFmtId="49" fontId="78" fillId="0" borderId="1129" xfId="1" applyNumberFormat="1" applyFont="1" applyFill="1" applyBorder="1" applyAlignment="1">
      <alignment horizontal="center" vertical="center" wrapText="1"/>
    </xf>
    <xf numFmtId="3" fontId="9" fillId="20" borderId="1129" xfId="1" applyNumberFormat="1" applyFont="1" applyFill="1" applyBorder="1" applyAlignment="1">
      <alignment vertical="center"/>
    </xf>
    <xf numFmtId="0" fontId="97" fillId="0" borderId="0" xfId="1" applyFont="1"/>
    <xf numFmtId="3" fontId="9" fillId="20" borderId="1106" xfId="1" applyNumberFormat="1" applyFont="1" applyFill="1" applyBorder="1" applyAlignment="1">
      <alignment vertical="center"/>
    </xf>
    <xf numFmtId="49" fontId="78" fillId="0" borderId="103" xfId="1" applyNumberFormat="1" applyFont="1" applyFill="1" applyBorder="1" applyAlignment="1">
      <alignment vertical="center"/>
    </xf>
    <xf numFmtId="0" fontId="13" fillId="0" borderId="1152" xfId="1" applyFont="1" applyFill="1" applyBorder="1" applyAlignment="1">
      <alignment vertical="center" wrapText="1"/>
    </xf>
    <xf numFmtId="49" fontId="78" fillId="0" borderId="104" xfId="1" applyNumberFormat="1" applyFont="1" applyFill="1" applyBorder="1" applyAlignment="1">
      <alignment vertical="center"/>
    </xf>
    <xf numFmtId="0" fontId="13" fillId="0" borderId="1141" xfId="1" applyFont="1" applyFill="1" applyBorder="1" applyAlignment="1">
      <alignment vertical="center" wrapText="1"/>
    </xf>
    <xf numFmtId="0" fontId="78" fillId="0" borderId="1152" xfId="1" applyFont="1" applyFill="1" applyBorder="1" applyAlignment="1">
      <alignment vertical="center"/>
    </xf>
    <xf numFmtId="49" fontId="78" fillId="0" borderId="1152" xfId="1" applyNumberFormat="1" applyFont="1" applyFill="1" applyBorder="1" applyAlignment="1">
      <alignment vertical="center"/>
    </xf>
    <xf numFmtId="0" fontId="78" fillId="0" borderId="1141" xfId="1" applyFont="1" applyFill="1" applyBorder="1" applyAlignment="1">
      <alignment vertical="center"/>
    </xf>
    <xf numFmtId="49" fontId="78" fillId="0" borderId="1141" xfId="1" applyNumberFormat="1" applyFont="1" applyFill="1" applyBorder="1" applyAlignment="1">
      <alignment vertical="center"/>
    </xf>
    <xf numFmtId="0" fontId="46" fillId="0" borderId="0" xfId="1" applyFont="1" applyBorder="1"/>
    <xf numFmtId="0" fontId="98" fillId="0" borderId="0" xfId="1" applyFont="1"/>
    <xf numFmtId="0" fontId="5" fillId="0" borderId="0" xfId="1" applyFont="1" applyBorder="1"/>
    <xf numFmtId="0" fontId="46" fillId="0" borderId="0" xfId="1" applyFont="1"/>
    <xf numFmtId="49" fontId="83" fillId="8" borderId="1129" xfId="1" applyNumberFormat="1" applyFont="1" applyFill="1" applyBorder="1" applyAlignment="1">
      <alignment horizontal="center" vertical="center" wrapText="1"/>
    </xf>
    <xf numFmtId="3" fontId="87" fillId="8" borderId="1129" xfId="1" applyNumberFormat="1" applyFont="1" applyFill="1" applyBorder="1" applyAlignment="1">
      <alignment vertical="center"/>
    </xf>
    <xf numFmtId="3" fontId="87" fillId="8" borderId="1106" xfId="1" applyNumberFormat="1" applyFont="1" applyFill="1" applyBorder="1" applyAlignment="1">
      <alignment vertical="center"/>
    </xf>
    <xf numFmtId="49" fontId="86" fillId="0" borderId="1129" xfId="1" applyNumberFormat="1" applyFont="1" applyFill="1" applyBorder="1" applyAlignment="1">
      <alignment horizontal="center" vertical="center" wrapText="1"/>
    </xf>
    <xf numFmtId="49" fontId="83" fillId="8" borderId="1129" xfId="1" applyNumberFormat="1" applyFont="1" applyFill="1" applyBorder="1" applyAlignment="1">
      <alignment horizontal="center" vertical="center"/>
    </xf>
    <xf numFmtId="0" fontId="78" fillId="0" borderId="1129" xfId="1" applyFont="1" applyFill="1" applyBorder="1" applyAlignment="1">
      <alignment vertical="center" wrapText="1"/>
    </xf>
    <xf numFmtId="49" fontId="91" fillId="0" borderId="1129" xfId="1" applyNumberFormat="1" applyFont="1" applyFill="1" applyBorder="1" applyAlignment="1">
      <alignment horizontal="center" vertical="center" wrapText="1"/>
    </xf>
    <xf numFmtId="49" fontId="91" fillId="0" borderId="1140" xfId="1" applyNumberFormat="1" applyFont="1" applyFill="1" applyBorder="1" applyAlignment="1">
      <alignment vertical="center"/>
    </xf>
    <xf numFmtId="0" fontId="92" fillId="0" borderId="1130" xfId="1" applyFont="1" applyFill="1" applyBorder="1" applyAlignment="1">
      <alignment vertical="center" wrapText="1"/>
    </xf>
    <xf numFmtId="0" fontId="91" fillId="0" borderId="1130" xfId="1" applyFont="1" applyFill="1" applyBorder="1" applyAlignment="1">
      <alignment vertical="center"/>
    </xf>
    <xf numFmtId="49" fontId="91" fillId="0" borderId="1130" xfId="1" applyNumberFormat="1" applyFont="1" applyFill="1" applyBorder="1" applyAlignment="1">
      <alignment vertical="center"/>
    </xf>
    <xf numFmtId="0" fontId="91" fillId="0" borderId="1130" xfId="1" applyFont="1" applyBorder="1" applyAlignment="1">
      <alignment horizontal="center" vertical="center"/>
    </xf>
    <xf numFmtId="3" fontId="91" fillId="0" borderId="1130" xfId="1" applyNumberFormat="1" applyFont="1" applyFill="1" applyBorder="1" applyAlignment="1">
      <alignment vertical="center"/>
    </xf>
    <xf numFmtId="3" fontId="91" fillId="0" borderId="1147" xfId="1" applyNumberFormat="1" applyFont="1" applyFill="1" applyBorder="1" applyAlignment="1">
      <alignment vertical="center"/>
    </xf>
    <xf numFmtId="49" fontId="9" fillId="20" borderId="1129" xfId="1" applyNumberFormat="1" applyFont="1" applyFill="1" applyBorder="1" applyAlignment="1">
      <alignment horizontal="center" vertical="center"/>
    </xf>
    <xf numFmtId="0" fontId="78" fillId="0" borderId="1130" xfId="1" applyFont="1" applyBorder="1" applyAlignment="1">
      <alignment horizontal="center" vertical="center"/>
    </xf>
    <xf numFmtId="3" fontId="78" fillId="0" borderId="1130" xfId="1" applyNumberFormat="1" applyFont="1" applyFill="1" applyBorder="1" applyAlignment="1">
      <alignment vertical="center"/>
    </xf>
    <xf numFmtId="3" fontId="12" fillId="19" borderId="82" xfId="1" applyNumberFormat="1" applyFont="1" applyFill="1" applyBorder="1" applyAlignment="1">
      <alignment vertical="center"/>
    </xf>
    <xf numFmtId="3" fontId="12" fillId="19" borderId="771" xfId="1" applyNumberFormat="1" applyFont="1" applyFill="1" applyBorder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8" fillId="16" borderId="0" xfId="1" applyFont="1" applyFill="1" applyBorder="1" applyAlignment="1">
      <alignment horizontal="right" vertical="center"/>
    </xf>
    <xf numFmtId="0" fontId="12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3" fontId="46" fillId="0" borderId="0" xfId="1" applyNumberFormat="1" applyFont="1"/>
    <xf numFmtId="0" fontId="11" fillId="2" borderId="9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53" fillId="8" borderId="54" xfId="1" applyFont="1" applyFill="1" applyBorder="1" applyAlignment="1">
      <alignment horizontal="left" vertical="center"/>
    </xf>
    <xf numFmtId="0" fontId="53" fillId="8" borderId="3" xfId="1" applyFont="1" applyFill="1" applyBorder="1" applyAlignment="1">
      <alignment horizontal="left" vertical="center"/>
    </xf>
    <xf numFmtId="0" fontId="53" fillId="8" borderId="107" xfId="1" applyFont="1" applyFill="1" applyBorder="1" applyAlignment="1">
      <alignment horizontal="left" vertical="center"/>
    </xf>
    <xf numFmtId="0" fontId="53" fillId="8" borderId="66" xfId="1" applyFont="1" applyFill="1" applyBorder="1" applyAlignment="1">
      <alignment horizontal="left" vertical="center"/>
    </xf>
    <xf numFmtId="0" fontId="12" fillId="0" borderId="15" xfId="1" applyFont="1" applyFill="1" applyBorder="1" applyAlignment="1">
      <alignment horizontal="center" vertical="center" wrapText="1"/>
    </xf>
    <xf numFmtId="0" fontId="50" fillId="8" borderId="48" xfId="1" applyFont="1" applyFill="1" applyBorder="1" applyAlignment="1">
      <alignment horizontal="left" vertical="center" wrapText="1"/>
    </xf>
    <xf numFmtId="0" fontId="50" fillId="8" borderId="47" xfId="1" applyFont="1" applyFill="1" applyBorder="1" applyAlignment="1">
      <alignment horizontal="left" vertical="center" wrapText="1"/>
    </xf>
    <xf numFmtId="0" fontId="50" fillId="8" borderId="35" xfId="1" applyFont="1" applyFill="1" applyBorder="1" applyAlignment="1">
      <alignment horizontal="left" vertical="center" wrapText="1"/>
    </xf>
    <xf numFmtId="0" fontId="50" fillId="8" borderId="62" xfId="1" applyFont="1" applyFill="1" applyBorder="1" applyAlignment="1">
      <alignment horizontal="left" vertical="center" wrapText="1"/>
    </xf>
    <xf numFmtId="0" fontId="43" fillId="6" borderId="17" xfId="1" applyFont="1" applyFill="1" applyBorder="1" applyAlignment="1">
      <alignment horizontal="center" vertical="center" wrapText="1"/>
    </xf>
    <xf numFmtId="0" fontId="43" fillId="6" borderId="15" xfId="1" applyFont="1" applyFill="1" applyBorder="1" applyAlignment="1">
      <alignment horizontal="center" vertical="center" wrapText="1"/>
    </xf>
    <xf numFmtId="0" fontId="43" fillId="6" borderId="14" xfId="1" applyFont="1" applyFill="1" applyBorder="1" applyAlignment="1">
      <alignment horizontal="center" vertical="center" wrapText="1"/>
    </xf>
    <xf numFmtId="0" fontId="50" fillId="8" borderId="80" xfId="1" applyFont="1" applyFill="1" applyBorder="1" applyAlignment="1">
      <alignment horizontal="left" vertical="center" wrapText="1"/>
    </xf>
    <xf numFmtId="0" fontId="50" fillId="6" borderId="20" xfId="1" applyFont="1" applyFill="1" applyBorder="1" applyAlignment="1">
      <alignment horizontal="center" vertical="center" wrapText="1"/>
    </xf>
    <xf numFmtId="0" fontId="50" fillId="6" borderId="5" xfId="1" applyFont="1" applyFill="1" applyBorder="1" applyAlignment="1">
      <alignment horizontal="center" vertical="center" wrapText="1"/>
    </xf>
    <xf numFmtId="0" fontId="50" fillId="6" borderId="55" xfId="1" applyFont="1" applyFill="1" applyBorder="1" applyAlignment="1">
      <alignment horizontal="center" vertical="center" wrapText="1"/>
    </xf>
    <xf numFmtId="0" fontId="50" fillId="8" borderId="24" xfId="1" applyFont="1" applyFill="1" applyBorder="1" applyAlignment="1">
      <alignment horizontal="left" vertical="center" wrapText="1"/>
    </xf>
    <xf numFmtId="0" fontId="50" fillId="6" borderId="15" xfId="1" applyFont="1" applyFill="1" applyBorder="1" applyAlignment="1">
      <alignment horizontal="center" vertical="center" wrapText="1"/>
    </xf>
    <xf numFmtId="0" fontId="50" fillId="6" borderId="16" xfId="1" applyFont="1" applyFill="1" applyBorder="1" applyAlignment="1">
      <alignment horizontal="center" vertical="center" wrapText="1"/>
    </xf>
    <xf numFmtId="0" fontId="50" fillId="8" borderId="71" xfId="1" applyFont="1" applyFill="1" applyBorder="1" applyAlignment="1">
      <alignment horizontal="left" vertical="center" wrapText="1"/>
    </xf>
    <xf numFmtId="0" fontId="50" fillId="8" borderId="2" xfId="1" applyFont="1" applyFill="1" applyBorder="1" applyAlignment="1">
      <alignment horizontal="left" vertical="center" wrapText="1"/>
    </xf>
    <xf numFmtId="0" fontId="50" fillId="8" borderId="63" xfId="1" applyFont="1" applyFill="1" applyBorder="1" applyAlignment="1">
      <alignment horizontal="left" vertical="center" wrapText="1"/>
    </xf>
    <xf numFmtId="0" fontId="50" fillId="8" borderId="23" xfId="1" applyFont="1" applyFill="1" applyBorder="1" applyAlignment="1">
      <alignment horizontal="left" vertical="center" wrapText="1"/>
    </xf>
    <xf numFmtId="0" fontId="43" fillId="0" borderId="15" xfId="1" applyFont="1" applyFill="1" applyBorder="1" applyAlignment="1">
      <alignment horizontal="center" vertical="center" wrapText="1"/>
    </xf>
    <xf numFmtId="0" fontId="50" fillId="8" borderId="3" xfId="1" applyFont="1" applyFill="1" applyBorder="1" applyAlignment="1">
      <alignment horizontal="left" vertical="center" wrapText="1"/>
    </xf>
    <xf numFmtId="0" fontId="41" fillId="6" borderId="102" xfId="1" applyFont="1" applyFill="1" applyBorder="1" applyAlignment="1">
      <alignment horizontal="center" vertical="center" wrapText="1"/>
    </xf>
    <xf numFmtId="0" fontId="41" fillId="6" borderId="15" xfId="1" applyFont="1" applyFill="1" applyBorder="1" applyAlignment="1">
      <alignment horizontal="center" vertical="center" wrapText="1"/>
    </xf>
    <xf numFmtId="0" fontId="41" fillId="6" borderId="16" xfId="1" applyFont="1" applyFill="1" applyBorder="1" applyAlignment="1">
      <alignment horizontal="center" vertical="center" wrapText="1"/>
    </xf>
    <xf numFmtId="0" fontId="50" fillId="8" borderId="41" xfId="1" applyFont="1" applyFill="1" applyBorder="1" applyAlignment="1">
      <alignment horizontal="left" vertical="center" wrapText="1"/>
    </xf>
    <xf numFmtId="0" fontId="42" fillId="0" borderId="102" xfId="1" applyFont="1" applyFill="1" applyBorder="1" applyAlignment="1">
      <alignment horizontal="left" vertical="center" wrapText="1"/>
    </xf>
    <xf numFmtId="0" fontId="42" fillId="0" borderId="15" xfId="1" applyFont="1" applyFill="1" applyBorder="1" applyAlignment="1">
      <alignment horizontal="left" vertical="center" wrapText="1"/>
    </xf>
    <xf numFmtId="0" fontId="42" fillId="0" borderId="16" xfId="1" applyFont="1" applyFill="1" applyBorder="1" applyAlignment="1">
      <alignment horizontal="left" vertical="center" wrapText="1"/>
    </xf>
    <xf numFmtId="0" fontId="50" fillId="8" borderId="54" xfId="1" applyFont="1" applyFill="1" applyBorder="1" applyAlignment="1">
      <alignment horizontal="left" vertical="center" wrapText="1"/>
    </xf>
    <xf numFmtId="0" fontId="50" fillId="6" borderId="102" xfId="1" applyFont="1" applyFill="1" applyBorder="1" applyAlignment="1">
      <alignment horizontal="center" vertical="center" wrapText="1"/>
    </xf>
    <xf numFmtId="0" fontId="23" fillId="6" borderId="102" xfId="1" applyFont="1" applyFill="1" applyBorder="1" applyAlignment="1">
      <alignment horizontal="center" vertical="center" wrapText="1"/>
    </xf>
    <xf numFmtId="0" fontId="23" fillId="6" borderId="16" xfId="1" applyFont="1" applyFill="1" applyBorder="1" applyAlignment="1">
      <alignment horizontal="center" vertical="center" wrapText="1"/>
    </xf>
    <xf numFmtId="0" fontId="23" fillId="0" borderId="20" xfId="1" applyFont="1" applyFill="1" applyBorder="1" applyAlignment="1">
      <alignment horizontal="left" vertical="center" wrapText="1"/>
    </xf>
    <xf numFmtId="0" fontId="23" fillId="0" borderId="55" xfId="1" applyFont="1" applyFill="1" applyBorder="1" applyAlignment="1">
      <alignment horizontal="left" vertical="center" wrapText="1"/>
    </xf>
    <xf numFmtId="0" fontId="35" fillId="6" borderId="15" xfId="1" applyFont="1" applyFill="1" applyBorder="1" applyAlignment="1">
      <alignment horizontal="center" vertical="center" wrapText="1"/>
    </xf>
    <xf numFmtId="0" fontId="50" fillId="8" borderId="11" xfId="1" applyFont="1" applyFill="1" applyBorder="1" applyAlignment="1">
      <alignment horizontal="left" vertical="center" wrapText="1"/>
    </xf>
    <xf numFmtId="0" fontId="50" fillId="8" borderId="61" xfId="1" applyFont="1" applyFill="1" applyBorder="1" applyAlignment="1">
      <alignment horizontal="left" vertical="center" wrapText="1"/>
    </xf>
    <xf numFmtId="0" fontId="50" fillId="8" borderId="0" xfId="1" applyFont="1" applyFill="1" applyBorder="1" applyAlignment="1">
      <alignment horizontal="left" vertical="center" wrapText="1"/>
    </xf>
    <xf numFmtId="0" fontId="50" fillId="8" borderId="36" xfId="1" applyFont="1" applyFill="1" applyBorder="1" applyAlignment="1">
      <alignment horizontal="left" vertical="center" wrapText="1"/>
    </xf>
    <xf numFmtId="0" fontId="50" fillId="6" borderId="14" xfId="1" applyFont="1" applyFill="1" applyBorder="1" applyAlignment="1">
      <alignment horizontal="center" vertical="center" wrapText="1"/>
    </xf>
    <xf numFmtId="0" fontId="50" fillId="8" borderId="55" xfId="1" applyFont="1" applyFill="1" applyBorder="1" applyAlignment="1">
      <alignment horizontal="left" vertical="center" wrapText="1"/>
    </xf>
    <xf numFmtId="0" fontId="50" fillId="8" borderId="5" xfId="1" applyFont="1" applyFill="1" applyBorder="1" applyAlignment="1">
      <alignment horizontal="left" vertical="center" wrapText="1"/>
    </xf>
    <xf numFmtId="0" fontId="50" fillId="8" borderId="20" xfId="1" applyFont="1" applyFill="1" applyBorder="1" applyAlignment="1">
      <alignment horizontal="left" vertical="center" wrapText="1"/>
    </xf>
    <xf numFmtId="0" fontId="50" fillId="8" borderId="6" xfId="1" applyFont="1" applyFill="1" applyBorder="1" applyAlignment="1">
      <alignment horizontal="left" vertical="center" wrapText="1"/>
    </xf>
    <xf numFmtId="0" fontId="23" fillId="0" borderId="102" xfId="1" applyFont="1" applyFill="1" applyBorder="1" applyAlignment="1">
      <alignment horizontal="left" vertical="center" wrapText="1"/>
    </xf>
    <xf numFmtId="0" fontId="23" fillId="0" borderId="15" xfId="1" applyFont="1" applyFill="1" applyBorder="1" applyAlignment="1">
      <alignment horizontal="left" vertical="center" wrapText="1"/>
    </xf>
    <xf numFmtId="49" fontId="35" fillId="6" borderId="102" xfId="14" applyNumberFormat="1" applyFont="1" applyFill="1" applyBorder="1" applyAlignment="1">
      <alignment horizontal="center" vertical="center" wrapText="1"/>
    </xf>
    <xf numFmtId="49" fontId="35" fillId="6" borderId="16" xfId="14" applyNumberFormat="1" applyFont="1" applyFill="1" applyBorder="1" applyAlignment="1">
      <alignment horizontal="center" vertical="center" wrapText="1"/>
    </xf>
    <xf numFmtId="0" fontId="23" fillId="0" borderId="16" xfId="1" applyFont="1" applyFill="1" applyBorder="1" applyAlignment="1">
      <alignment horizontal="left" vertical="center" wrapText="1"/>
    </xf>
    <xf numFmtId="0" fontId="50" fillId="8" borderId="10" xfId="1" applyFont="1" applyFill="1" applyBorder="1" applyAlignment="1">
      <alignment horizontal="left" vertical="center" wrapText="1"/>
    </xf>
    <xf numFmtId="49" fontId="23" fillId="6" borderId="102" xfId="1" applyNumberFormat="1" applyFont="1" applyFill="1" applyBorder="1" applyAlignment="1">
      <alignment horizontal="center" vertical="center" wrapText="1"/>
    </xf>
    <xf numFmtId="49" fontId="23" fillId="6" borderId="15" xfId="1" applyNumberFormat="1" applyFont="1" applyFill="1" applyBorder="1" applyAlignment="1">
      <alignment horizontal="center" vertical="center" wrapText="1"/>
    </xf>
    <xf numFmtId="49" fontId="23" fillId="6" borderId="16" xfId="1" applyNumberFormat="1" applyFont="1" applyFill="1" applyBorder="1" applyAlignment="1">
      <alignment horizontal="center" vertical="center" wrapText="1"/>
    </xf>
    <xf numFmtId="0" fontId="43" fillId="0" borderId="17" xfId="1" applyFont="1" applyFill="1" applyBorder="1" applyAlignment="1">
      <alignment horizontal="center" vertical="center" wrapText="1"/>
    </xf>
    <xf numFmtId="0" fontId="42" fillId="0" borderId="102" xfId="14" applyFont="1" applyFill="1" applyBorder="1" applyAlignment="1">
      <alignment horizontal="left" vertical="center" wrapText="1"/>
    </xf>
    <xf numFmtId="0" fontId="42" fillId="0" borderId="15" xfId="14" applyFont="1" applyFill="1" applyBorder="1" applyAlignment="1">
      <alignment horizontal="left" vertical="center" wrapText="1"/>
    </xf>
    <xf numFmtId="0" fontId="42" fillId="0" borderId="16" xfId="14" applyFont="1" applyFill="1" applyBorder="1" applyAlignment="1">
      <alignment horizontal="left" vertical="center" wrapText="1"/>
    </xf>
    <xf numFmtId="0" fontId="8" fillId="8" borderId="2" xfId="1" applyFont="1" applyFill="1" applyBorder="1" applyAlignment="1">
      <alignment horizontal="left" vertical="center" wrapText="1"/>
    </xf>
    <xf numFmtId="0" fontId="8" fillId="8" borderId="0" xfId="1" applyFont="1" applyFill="1" applyBorder="1" applyAlignment="1">
      <alignment horizontal="left" vertical="center" wrapText="1"/>
    </xf>
    <xf numFmtId="0" fontId="23" fillId="6" borderId="14" xfId="1" applyFont="1" applyFill="1" applyBorder="1" applyAlignment="1">
      <alignment horizontal="center" vertical="center" wrapText="1"/>
    </xf>
    <xf numFmtId="0" fontId="35" fillId="6" borderId="17" xfId="1" applyFont="1" applyFill="1" applyBorder="1" applyAlignment="1">
      <alignment horizontal="center" vertical="center" wrapText="1"/>
    </xf>
    <xf numFmtId="0" fontId="8" fillId="8" borderId="3" xfId="1" applyFont="1" applyFill="1" applyBorder="1" applyAlignment="1">
      <alignment horizontal="left" vertical="center" wrapText="1"/>
    </xf>
    <xf numFmtId="0" fontId="8" fillId="8" borderId="63" xfId="1" applyFont="1" applyFill="1" applyBorder="1" applyAlignment="1">
      <alignment horizontal="left" vertical="center" wrapText="1"/>
    </xf>
    <xf numFmtId="0" fontId="8" fillId="8" borderId="36" xfId="1" applyFont="1" applyFill="1" applyBorder="1" applyAlignment="1">
      <alignment horizontal="left" vertical="center" wrapText="1"/>
    </xf>
    <xf numFmtId="0" fontId="8" fillId="8" borderId="23" xfId="1" applyFont="1" applyFill="1" applyBorder="1" applyAlignment="1">
      <alignment horizontal="left" vertical="center" wrapText="1"/>
    </xf>
    <xf numFmtId="0" fontId="35" fillId="0" borderId="17" xfId="14" applyFont="1" applyBorder="1" applyAlignment="1">
      <alignment horizontal="center" vertical="center" wrapText="1"/>
    </xf>
    <xf numFmtId="0" fontId="35" fillId="0" borderId="15" xfId="14" applyFont="1" applyBorder="1" applyAlignment="1">
      <alignment horizontal="center" vertical="center" wrapText="1"/>
    </xf>
    <xf numFmtId="0" fontId="35" fillId="0" borderId="14" xfId="14" applyFont="1" applyBorder="1" applyAlignment="1">
      <alignment horizontal="center" vertical="center" wrapText="1"/>
    </xf>
    <xf numFmtId="0" fontId="8" fillId="8" borderId="48" xfId="14" applyFont="1" applyFill="1" applyBorder="1" applyAlignment="1">
      <alignment horizontal="left" vertical="center" wrapText="1"/>
    </xf>
    <xf numFmtId="0" fontId="8" fillId="8" borderId="47" xfId="14" applyFont="1" applyFill="1" applyBorder="1" applyAlignment="1">
      <alignment horizontal="left" vertical="center" wrapText="1"/>
    </xf>
    <xf numFmtId="0" fontId="8" fillId="6" borderId="102" xfId="14" applyFont="1" applyFill="1" applyBorder="1" applyAlignment="1">
      <alignment horizontal="center" vertical="center" wrapText="1"/>
    </xf>
    <xf numFmtId="0" fontId="8" fillId="6" borderId="15" xfId="14" applyFont="1" applyFill="1" applyBorder="1" applyAlignment="1">
      <alignment horizontal="center" vertical="center" wrapText="1"/>
    </xf>
    <xf numFmtId="0" fontId="8" fillId="6" borderId="16" xfId="14" applyFont="1" applyFill="1" applyBorder="1" applyAlignment="1">
      <alignment horizontal="center" vertical="center" wrapText="1"/>
    </xf>
    <xf numFmtId="0" fontId="8" fillId="8" borderId="35" xfId="14" applyFont="1" applyFill="1" applyBorder="1" applyAlignment="1">
      <alignment horizontal="left" vertical="center" wrapText="1"/>
    </xf>
    <xf numFmtId="0" fontId="8" fillId="8" borderId="62" xfId="14" quotePrefix="1" applyFont="1" applyFill="1" applyBorder="1" applyAlignment="1">
      <alignment horizontal="left" vertical="center" wrapText="1"/>
    </xf>
    <xf numFmtId="0" fontId="8" fillId="8" borderId="54" xfId="14" applyFont="1" applyFill="1" applyBorder="1" applyAlignment="1">
      <alignment horizontal="left" vertical="center" wrapText="1"/>
    </xf>
    <xf numFmtId="0" fontId="8" fillId="8" borderId="3" xfId="14" applyFont="1" applyFill="1" applyBorder="1" applyAlignment="1">
      <alignment horizontal="left" vertical="center" wrapText="1"/>
    </xf>
    <xf numFmtId="0" fontId="40" fillId="0" borderId="102" xfId="14" applyFont="1" applyBorder="1" applyAlignment="1">
      <alignment horizontal="center" vertical="center" wrapText="1"/>
    </xf>
    <xf numFmtId="0" fontId="40" fillId="0" borderId="16" xfId="14" applyFont="1" applyBorder="1" applyAlignment="1">
      <alignment horizontal="center" vertical="center" wrapText="1"/>
    </xf>
    <xf numFmtId="0" fontId="8" fillId="8" borderId="86" xfId="14" applyFont="1" applyFill="1" applyBorder="1" applyAlignment="1">
      <alignment horizontal="left" vertical="center" wrapText="1"/>
    </xf>
    <xf numFmtId="0" fontId="8" fillId="8" borderId="96" xfId="14" quotePrefix="1" applyFont="1" applyFill="1" applyBorder="1" applyAlignment="1">
      <alignment horizontal="left" vertical="center" wrapText="1"/>
    </xf>
    <xf numFmtId="0" fontId="7" fillId="6" borderId="102" xfId="14" quotePrefix="1" applyFont="1" applyFill="1" applyBorder="1" applyAlignment="1">
      <alignment horizontal="center" vertical="center" wrapText="1"/>
    </xf>
    <xf numFmtId="0" fontId="7" fillId="6" borderId="15" xfId="14" quotePrefix="1" applyFont="1" applyFill="1" applyBorder="1" applyAlignment="1">
      <alignment horizontal="center" vertical="center" wrapText="1"/>
    </xf>
    <xf numFmtId="0" fontId="7" fillId="6" borderId="16" xfId="14" quotePrefix="1" applyFont="1" applyFill="1" applyBorder="1" applyAlignment="1">
      <alignment horizontal="center" vertical="center" wrapText="1"/>
    </xf>
    <xf numFmtId="0" fontId="8" fillId="8" borderId="63" xfId="14" applyFont="1" applyFill="1" applyBorder="1" applyAlignment="1">
      <alignment horizontal="left" vertical="center" wrapText="1"/>
    </xf>
    <xf numFmtId="0" fontId="8" fillId="8" borderId="36" xfId="14" quotePrefix="1" applyFont="1" applyFill="1" applyBorder="1" applyAlignment="1">
      <alignment horizontal="left" vertical="center" wrapText="1"/>
    </xf>
    <xf numFmtId="0" fontId="8" fillId="8" borderId="11" xfId="14" applyFont="1" applyFill="1" applyBorder="1" applyAlignment="1">
      <alignment horizontal="left" vertical="center" wrapText="1"/>
    </xf>
    <xf numFmtId="0" fontId="8" fillId="8" borderId="80" xfId="14" applyFont="1" applyFill="1" applyBorder="1" applyAlignment="1">
      <alignment horizontal="left" vertical="center" wrapText="1"/>
    </xf>
    <xf numFmtId="0" fontId="8" fillId="8" borderId="35" xfId="14" applyFont="1" applyFill="1" applyBorder="1" applyAlignment="1">
      <alignment vertical="center" wrapText="1"/>
    </xf>
    <xf numFmtId="0" fontId="8" fillId="8" borderId="61" xfId="14" applyFont="1" applyFill="1" applyBorder="1" applyAlignment="1">
      <alignment vertical="center" wrapText="1"/>
    </xf>
    <xf numFmtId="0" fontId="8" fillId="8" borderId="6" xfId="14" applyFont="1" applyFill="1" applyBorder="1" applyAlignment="1">
      <alignment horizontal="left" vertical="center"/>
    </xf>
    <xf numFmtId="0" fontId="8" fillId="8" borderId="5" xfId="14" applyFont="1" applyFill="1" applyBorder="1" applyAlignment="1">
      <alignment horizontal="left" vertical="center"/>
    </xf>
    <xf numFmtId="0" fontId="8" fillId="8" borderId="41" xfId="14" applyFont="1" applyFill="1" applyBorder="1" applyAlignment="1">
      <alignment horizontal="left" vertical="center" wrapText="1"/>
    </xf>
    <xf numFmtId="0" fontId="8" fillId="8" borderId="35" xfId="14" applyFont="1" applyFill="1" applyBorder="1" applyAlignment="1">
      <alignment horizontal="left" vertical="center"/>
    </xf>
    <xf numFmtId="0" fontId="8" fillId="8" borderId="61" xfId="14" applyFont="1" applyFill="1" applyBorder="1" applyAlignment="1">
      <alignment horizontal="left" vertical="center"/>
    </xf>
    <xf numFmtId="0" fontId="8" fillId="8" borderId="47" xfId="14" quotePrefix="1" applyFont="1" applyFill="1" applyBorder="1" applyAlignment="1">
      <alignment horizontal="left" vertical="center" wrapText="1"/>
    </xf>
    <xf numFmtId="0" fontId="8" fillId="8" borderId="41" xfId="14" quotePrefix="1" applyFont="1" applyFill="1" applyBorder="1" applyAlignment="1">
      <alignment horizontal="left" vertical="center" wrapText="1"/>
    </xf>
    <xf numFmtId="49" fontId="7" fillId="6" borderId="102" xfId="14" quotePrefix="1" applyNumberFormat="1" applyFont="1" applyFill="1" applyBorder="1" applyAlignment="1">
      <alignment horizontal="center" vertical="center" wrapText="1"/>
    </xf>
    <xf numFmtId="49" fontId="7" fillId="6" borderId="15" xfId="14" quotePrefix="1" applyNumberFormat="1" applyFont="1" applyFill="1" applyBorder="1" applyAlignment="1">
      <alignment horizontal="center" vertical="center" wrapText="1"/>
    </xf>
    <xf numFmtId="49" fontId="7" fillId="6" borderId="16" xfId="14" quotePrefix="1" applyNumberFormat="1" applyFont="1" applyFill="1" applyBorder="1" applyAlignment="1">
      <alignment horizontal="center" vertical="center" wrapText="1"/>
    </xf>
    <xf numFmtId="0" fontId="8" fillId="8" borderId="71" xfId="14" applyFont="1" applyFill="1" applyBorder="1" applyAlignment="1">
      <alignment horizontal="left" vertical="center"/>
    </xf>
    <xf numFmtId="0" fontId="8" fillId="8" borderId="20" xfId="14" applyFont="1" applyFill="1" applyBorder="1" applyAlignment="1">
      <alignment horizontal="left" vertical="center"/>
    </xf>
    <xf numFmtId="0" fontId="8" fillId="8" borderId="23" xfId="14" quotePrefix="1" applyFont="1" applyFill="1" applyBorder="1" applyAlignment="1">
      <alignment horizontal="left" vertical="center" wrapText="1"/>
    </xf>
    <xf numFmtId="0" fontId="8" fillId="8" borderId="3" xfId="14" quotePrefix="1" applyFont="1" applyFill="1" applyBorder="1" applyAlignment="1">
      <alignment horizontal="left" vertical="center" wrapText="1"/>
    </xf>
    <xf numFmtId="0" fontId="40" fillId="0" borderId="20" xfId="14" applyFont="1" applyBorder="1" applyAlignment="1">
      <alignment horizontal="center" vertical="center" wrapText="1"/>
    </xf>
    <xf numFmtId="0" fontId="40" fillId="0" borderId="5" xfId="14" applyFont="1" applyBorder="1" applyAlignment="1">
      <alignment horizontal="center" vertical="center" wrapText="1"/>
    </xf>
    <xf numFmtId="0" fontId="43" fillId="0" borderId="15" xfId="14" applyFont="1" applyFill="1" applyBorder="1" applyAlignment="1">
      <alignment horizontal="center" vertical="center" wrapText="1"/>
    </xf>
    <xf numFmtId="0" fontId="8" fillId="8" borderId="62" xfId="14" applyFont="1" applyFill="1" applyBorder="1" applyAlignment="1">
      <alignment horizontal="left" vertical="center" wrapText="1"/>
    </xf>
    <xf numFmtId="0" fontId="40" fillId="0" borderId="99" xfId="14" applyFont="1" applyBorder="1" applyAlignment="1">
      <alignment horizontal="center" vertical="center" wrapText="1"/>
    </xf>
    <xf numFmtId="0" fontId="40" fillId="0" borderId="104" xfId="14" applyFont="1" applyBorder="1" applyAlignment="1">
      <alignment horizontal="center" vertical="center" wrapText="1"/>
    </xf>
    <xf numFmtId="0" fontId="8" fillId="8" borderId="2" xfId="14" applyFont="1" applyFill="1" applyBorder="1" applyAlignment="1">
      <alignment horizontal="left" vertical="center" wrapText="1"/>
    </xf>
    <xf numFmtId="0" fontId="8" fillId="8" borderId="20" xfId="14" applyFont="1" applyFill="1" applyBorder="1" applyAlignment="1">
      <alignment horizontal="left" vertical="center" wrapText="1"/>
    </xf>
    <xf numFmtId="0" fontId="40" fillId="0" borderId="15" xfId="14" applyFont="1" applyBorder="1" applyAlignment="1">
      <alignment horizontal="center" vertical="center" wrapText="1"/>
    </xf>
    <xf numFmtId="0" fontId="42" fillId="0" borderId="20" xfId="14" applyFont="1" applyFill="1" applyBorder="1" applyAlignment="1">
      <alignment horizontal="left" vertical="center" wrapText="1"/>
    </xf>
    <xf numFmtId="0" fontId="42" fillId="0" borderId="5" xfId="14" applyFont="1" applyFill="1" applyBorder="1" applyAlignment="1">
      <alignment horizontal="left" vertical="center" wrapText="1"/>
    </xf>
    <xf numFmtId="0" fontId="43" fillId="0" borderId="17" xfId="14" applyFont="1" applyBorder="1" applyAlignment="1">
      <alignment horizontal="center" vertical="center" wrapText="1"/>
    </xf>
    <xf numFmtId="0" fontId="43" fillId="0" borderId="15" xfId="14" applyFont="1" applyBorder="1" applyAlignment="1">
      <alignment horizontal="center" vertical="center" wrapText="1"/>
    </xf>
    <xf numFmtId="0" fontId="43" fillId="0" borderId="102" xfId="14" applyFont="1" applyBorder="1" applyAlignment="1">
      <alignment horizontal="center" vertical="center" wrapText="1"/>
    </xf>
    <xf numFmtId="0" fontId="8" fillId="8" borderId="23" xfId="14" applyFont="1" applyFill="1" applyBorder="1" applyAlignment="1">
      <alignment horizontal="left" vertical="center" wrapText="1"/>
    </xf>
    <xf numFmtId="0" fontId="8" fillId="8" borderId="10" xfId="14" applyFont="1" applyFill="1" applyBorder="1" applyAlignment="1">
      <alignment horizontal="left" vertical="center" wrapText="1"/>
    </xf>
    <xf numFmtId="0" fontId="8" fillId="6" borderId="20" xfId="14" applyFont="1" applyFill="1" applyBorder="1" applyAlignment="1">
      <alignment horizontal="center" vertical="center" wrapText="1"/>
    </xf>
    <xf numFmtId="0" fontId="8" fillId="6" borderId="5" xfId="14" applyFont="1" applyFill="1" applyBorder="1" applyAlignment="1">
      <alignment horizontal="center" vertical="center" wrapText="1"/>
    </xf>
    <xf numFmtId="0" fontId="8" fillId="8" borderId="61" xfId="14" applyFont="1" applyFill="1" applyBorder="1" applyAlignment="1">
      <alignment horizontal="left" vertical="center" wrapText="1"/>
    </xf>
    <xf numFmtId="0" fontId="35" fillId="0" borderId="5" xfId="14" applyFont="1" applyFill="1" applyBorder="1" applyAlignment="1">
      <alignment horizontal="left" vertical="center" wrapText="1"/>
    </xf>
    <xf numFmtId="0" fontId="35" fillId="0" borderId="55" xfId="14" applyFont="1" applyFill="1" applyBorder="1" applyAlignment="1">
      <alignment horizontal="left" vertical="center" wrapText="1"/>
    </xf>
    <xf numFmtId="0" fontId="8" fillId="6" borderId="14" xfId="14" applyFont="1" applyFill="1" applyBorder="1" applyAlignment="1">
      <alignment horizontal="center" vertical="center" wrapText="1"/>
    </xf>
    <xf numFmtId="0" fontId="35" fillId="0" borderId="102" xfId="14" applyFont="1" applyFill="1" applyBorder="1" applyAlignment="1">
      <alignment horizontal="center" vertical="center" wrapText="1"/>
    </xf>
    <xf numFmtId="0" fontId="35" fillId="0" borderId="16" xfId="14" applyFont="1" applyFill="1" applyBorder="1" applyAlignment="1">
      <alignment horizontal="center" vertical="center" wrapText="1"/>
    </xf>
    <xf numFmtId="0" fontId="35" fillId="6" borderId="102" xfId="14" applyFont="1" applyFill="1" applyBorder="1" applyAlignment="1">
      <alignment horizontal="center" vertical="center" wrapText="1"/>
    </xf>
    <xf numFmtId="0" fontId="35" fillId="6" borderId="15" xfId="14" applyFont="1" applyFill="1" applyBorder="1" applyAlignment="1">
      <alignment horizontal="center" vertical="center" wrapText="1"/>
    </xf>
    <xf numFmtId="0" fontId="35" fillId="6" borderId="16" xfId="14" applyFont="1" applyFill="1" applyBorder="1" applyAlignment="1">
      <alignment horizontal="center" vertical="center" wrapText="1"/>
    </xf>
    <xf numFmtId="0" fontId="42" fillId="6" borderId="20" xfId="14" applyFont="1" applyFill="1" applyBorder="1" applyAlignment="1">
      <alignment horizontal="left" vertical="center" wrapText="1"/>
    </xf>
    <xf numFmtId="0" fontId="42" fillId="6" borderId="55" xfId="14" applyFont="1" applyFill="1" applyBorder="1" applyAlignment="1">
      <alignment horizontal="left" vertical="center" wrapText="1"/>
    </xf>
    <xf numFmtId="0" fontId="8" fillId="8" borderId="36" xfId="14" applyFont="1" applyFill="1" applyBorder="1" applyAlignment="1">
      <alignment horizontal="left" vertical="center" wrapText="1"/>
    </xf>
    <xf numFmtId="0" fontId="8" fillId="8" borderId="0" xfId="14" quotePrefix="1" applyFont="1" applyFill="1" applyBorder="1" applyAlignment="1">
      <alignment horizontal="left" vertical="center" wrapText="1"/>
    </xf>
    <xf numFmtId="0" fontId="8" fillId="8" borderId="24" xfId="14" quotePrefix="1" applyFont="1" applyFill="1" applyBorder="1" applyAlignment="1">
      <alignment horizontal="left" vertical="center" wrapText="1"/>
    </xf>
    <xf numFmtId="0" fontId="8" fillId="8" borderId="0" xfId="14" applyFont="1" applyFill="1" applyBorder="1" applyAlignment="1">
      <alignment horizontal="left" vertical="center" wrapText="1"/>
    </xf>
    <xf numFmtId="0" fontId="12" fillId="0" borderId="17" xfId="14" quotePrefix="1" applyFont="1" applyFill="1" applyBorder="1" applyAlignment="1">
      <alignment horizontal="center" vertical="center" wrapText="1"/>
    </xf>
    <xf numFmtId="0" fontId="12" fillId="0" borderId="15" xfId="14" quotePrefix="1" applyFont="1" applyFill="1" applyBorder="1" applyAlignment="1">
      <alignment horizontal="center" vertical="center" wrapText="1"/>
    </xf>
    <xf numFmtId="0" fontId="8" fillId="8" borderId="71" xfId="14" applyFont="1" applyFill="1" applyBorder="1" applyAlignment="1">
      <alignment horizontal="left" vertical="center" wrapText="1"/>
    </xf>
    <xf numFmtId="49" fontId="8" fillId="8" borderId="80" xfId="14" applyNumberFormat="1" applyFont="1" applyFill="1" applyBorder="1" applyAlignment="1">
      <alignment horizontal="left" vertical="center" wrapText="1"/>
    </xf>
    <xf numFmtId="49" fontId="8" fillId="8" borderId="35" xfId="14" applyNumberFormat="1" applyFont="1" applyFill="1" applyBorder="1" applyAlignment="1">
      <alignment horizontal="left" vertical="center" wrapText="1"/>
    </xf>
    <xf numFmtId="49" fontId="8" fillId="8" borderId="62" xfId="14" applyNumberFormat="1" applyFont="1" applyFill="1" applyBorder="1" applyAlignment="1">
      <alignment horizontal="left" vertical="center" wrapText="1"/>
    </xf>
    <xf numFmtId="0" fontId="8" fillId="0" borderId="102" xfId="14" applyFont="1" applyFill="1" applyBorder="1" applyAlignment="1">
      <alignment horizontal="center" vertical="center" wrapText="1"/>
    </xf>
    <xf numFmtId="0" fontId="8" fillId="0" borderId="16" xfId="14" applyFont="1" applyFill="1" applyBorder="1" applyAlignment="1">
      <alignment horizontal="center" vertical="center" wrapText="1"/>
    </xf>
    <xf numFmtId="0" fontId="8" fillId="8" borderId="20" xfId="14" quotePrefix="1" applyFont="1" applyFill="1" applyBorder="1" applyAlignment="1">
      <alignment horizontal="left" vertical="center" wrapText="1"/>
    </xf>
    <xf numFmtId="10" fontId="12" fillId="2" borderId="17" xfId="14" applyNumberFormat="1" applyFont="1" applyFill="1" applyBorder="1" applyAlignment="1">
      <alignment horizontal="center" vertical="center" wrapText="1"/>
    </xf>
    <xf numFmtId="10" fontId="12" fillId="2" borderId="14" xfId="14" applyNumberFormat="1" applyFont="1" applyFill="1" applyBorder="1" applyAlignment="1">
      <alignment horizontal="center" vertical="center" wrapText="1"/>
    </xf>
    <xf numFmtId="0" fontId="12" fillId="0" borderId="5" xfId="14" quotePrefix="1" applyFont="1" applyFill="1" applyBorder="1" applyAlignment="1">
      <alignment horizontal="center" vertical="center" wrapText="1"/>
    </xf>
    <xf numFmtId="0" fontId="7" fillId="6" borderId="0" xfId="14" applyFont="1" applyFill="1" applyBorder="1" applyAlignment="1">
      <alignment horizontal="left" vertical="center" wrapText="1"/>
    </xf>
    <xf numFmtId="0" fontId="8" fillId="6" borderId="99" xfId="14" applyFont="1" applyFill="1" applyBorder="1" applyAlignment="1">
      <alignment horizontal="center" vertical="center" wrapText="1"/>
    </xf>
    <xf numFmtId="0" fontId="8" fillId="6" borderId="103" xfId="14" applyFont="1" applyFill="1" applyBorder="1" applyAlignment="1">
      <alignment horizontal="center" vertical="center" wrapText="1"/>
    </xf>
    <xf numFmtId="0" fontId="8" fillId="6" borderId="104" xfId="14" applyFont="1" applyFill="1" applyBorder="1" applyAlignment="1">
      <alignment horizontal="center" vertical="center" wrapText="1"/>
    </xf>
    <xf numFmtId="0" fontId="23" fillId="0" borderId="0" xfId="14" applyFont="1" applyAlignment="1">
      <alignment horizontal="left" vertical="center" wrapText="1"/>
    </xf>
    <xf numFmtId="0" fontId="33" fillId="0" borderId="0" xfId="14" applyFont="1" applyBorder="1" applyAlignment="1">
      <alignment horizontal="center" vertical="center" wrapText="1"/>
    </xf>
    <xf numFmtId="0" fontId="12" fillId="2" borderId="4" xfId="14" applyFont="1" applyFill="1" applyBorder="1" applyAlignment="1">
      <alignment horizontal="center" vertical="center" wrapText="1"/>
    </xf>
    <xf numFmtId="0" fontId="12" fillId="2" borderId="12" xfId="14" applyFont="1" applyFill="1" applyBorder="1" applyAlignment="1">
      <alignment horizontal="center" vertical="center" wrapText="1"/>
    </xf>
    <xf numFmtId="0" fontId="26" fillId="2" borderId="4" xfId="14" applyFont="1" applyFill="1" applyBorder="1" applyAlignment="1">
      <alignment horizontal="center" vertical="center" wrapText="1"/>
    </xf>
    <xf numFmtId="0" fontId="12" fillId="2" borderId="9" xfId="14" applyFont="1" applyFill="1" applyBorder="1" applyAlignment="1">
      <alignment horizontal="center" vertical="center" wrapText="1"/>
    </xf>
    <xf numFmtId="0" fontId="7" fillId="0" borderId="1039" xfId="1" applyFont="1" applyFill="1" applyBorder="1" applyAlignment="1">
      <alignment horizontal="left" vertical="center"/>
    </xf>
    <xf numFmtId="0" fontId="55" fillId="0" borderId="1124" xfId="10" applyNumberFormat="1" applyFont="1" applyFill="1" applyBorder="1" applyAlignment="1" applyProtection="1">
      <alignment horizontal="left" vertical="center"/>
      <protection locked="0"/>
    </xf>
    <xf numFmtId="0" fontId="55" fillId="0" borderId="1125" xfId="10" applyNumberFormat="1" applyFont="1" applyFill="1" applyBorder="1" applyAlignment="1" applyProtection="1">
      <alignment horizontal="left" vertical="center"/>
      <protection locked="0"/>
    </xf>
    <xf numFmtId="49" fontId="59" fillId="0" borderId="1078" xfId="10" applyNumberFormat="1" applyFont="1" applyFill="1" applyBorder="1" applyAlignment="1" applyProtection="1">
      <alignment horizontal="left" vertical="center" wrapText="1"/>
      <protection locked="0"/>
    </xf>
    <xf numFmtId="49" fontId="59" fillId="0" borderId="109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8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72" xfId="10" applyNumberFormat="1" applyFont="1" applyFill="1" applyBorder="1" applyAlignment="1" applyProtection="1">
      <alignment horizontal="left" vertical="center" wrapText="1"/>
      <protection locked="0"/>
    </xf>
    <xf numFmtId="0" fontId="7" fillId="0" borderId="1117" xfId="1" applyFont="1" applyFill="1" applyBorder="1" applyAlignment="1">
      <alignment horizontal="left" vertical="center"/>
    </xf>
    <xf numFmtId="0" fontId="55" fillId="0" borderId="1118" xfId="10" applyNumberFormat="1" applyFont="1" applyFill="1" applyBorder="1" applyAlignment="1" applyProtection="1">
      <alignment horizontal="left" vertical="center"/>
      <protection locked="0"/>
    </xf>
    <xf numFmtId="0" fontId="55" fillId="0" borderId="1121" xfId="10" applyNumberFormat="1" applyFont="1" applyFill="1" applyBorder="1" applyAlignment="1" applyProtection="1">
      <alignment horizontal="left" vertical="center"/>
      <protection locked="0"/>
    </xf>
    <xf numFmtId="0" fontId="7" fillId="0" borderId="1122" xfId="1" applyFont="1" applyFill="1" applyBorder="1" applyAlignment="1">
      <alignment horizontal="left" vertical="center"/>
    </xf>
    <xf numFmtId="0" fontId="55" fillId="0" borderId="692" xfId="10" applyNumberFormat="1" applyFont="1" applyFill="1" applyBorder="1" applyAlignment="1" applyProtection="1">
      <alignment horizontal="left" vertical="center"/>
      <protection locked="0"/>
    </xf>
    <xf numFmtId="0" fontId="55" fillId="0" borderId="1123" xfId="10" applyNumberFormat="1" applyFont="1" applyFill="1" applyBorder="1" applyAlignment="1" applyProtection="1">
      <alignment horizontal="left" vertical="center"/>
      <protection locked="0"/>
    </xf>
    <xf numFmtId="0" fontId="9" fillId="14" borderId="9" xfId="1" applyFont="1" applyFill="1" applyBorder="1" applyAlignment="1">
      <alignment horizontal="left" vertical="center"/>
    </xf>
    <xf numFmtId="0" fontId="60" fillId="14" borderId="13" xfId="10" applyNumberFormat="1" applyFont="1" applyFill="1" applyBorder="1" applyAlignment="1" applyProtection="1">
      <alignment horizontal="left" vertical="center"/>
      <protection locked="0"/>
    </xf>
    <xf numFmtId="0" fontId="60" fillId="14" borderId="21" xfId="10" applyNumberFormat="1" applyFont="1" applyFill="1" applyBorder="1" applyAlignment="1" applyProtection="1">
      <alignment horizontal="left" vertical="center"/>
      <protection locked="0"/>
    </xf>
    <xf numFmtId="0" fontId="7" fillId="0" borderId="547" xfId="1" applyFont="1" applyFill="1" applyBorder="1" applyAlignment="1">
      <alignment horizontal="left" vertical="center"/>
    </xf>
    <xf numFmtId="0" fontId="55" fillId="0" borderId="1119" xfId="10" applyNumberFormat="1" applyFont="1" applyFill="1" applyBorder="1" applyAlignment="1" applyProtection="1">
      <alignment horizontal="left" vertical="center"/>
      <protection locked="0"/>
    </xf>
    <xf numFmtId="0" fontId="55" fillId="0" borderId="1120" xfId="10" applyNumberFormat="1" applyFont="1" applyFill="1" applyBorder="1" applyAlignment="1" applyProtection="1">
      <alignment horizontal="left" vertical="center"/>
      <protection locked="0"/>
    </xf>
    <xf numFmtId="0" fontId="8" fillId="0" borderId="1117" xfId="1" applyFont="1" applyFill="1" applyBorder="1" applyAlignment="1">
      <alignment horizontal="left" vertical="center" wrapText="1"/>
    </xf>
    <xf numFmtId="0" fontId="61" fillId="0" borderId="1118" xfId="10" applyNumberFormat="1" applyFont="1" applyFill="1" applyBorder="1" applyAlignment="1" applyProtection="1">
      <alignment horizontal="left" vertical="center"/>
      <protection locked="0"/>
    </xf>
    <xf numFmtId="0" fontId="61" fillId="0" borderId="1121" xfId="10" applyNumberFormat="1" applyFont="1" applyFill="1" applyBorder="1" applyAlignment="1" applyProtection="1">
      <alignment horizontal="left" vertical="center"/>
      <protection locked="0"/>
    </xf>
    <xf numFmtId="0" fontId="8" fillId="0" borderId="1117" xfId="1" applyFont="1" applyFill="1" applyBorder="1" applyAlignment="1">
      <alignment horizontal="left" vertical="center"/>
    </xf>
    <xf numFmtId="0" fontId="7" fillId="0" borderId="1117" xfId="1" applyFont="1" applyFill="1" applyBorder="1" applyAlignment="1">
      <alignment horizontal="left" vertical="center" wrapText="1"/>
    </xf>
    <xf numFmtId="49" fontId="55" fillId="10" borderId="1115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65" xfId="10" applyNumberFormat="1" applyFont="1" applyFill="1" applyBorder="1" applyAlignment="1" applyProtection="1">
      <alignment horizontal="left" vertical="center" wrapText="1"/>
      <protection locked="0"/>
    </xf>
    <xf numFmtId="49" fontId="59" fillId="12" borderId="26" xfId="10" applyNumberFormat="1" applyFont="1" applyFill="1" applyBorder="1" applyAlignment="1" applyProtection="1">
      <alignment horizontal="center" vertical="center" wrapText="1"/>
      <protection locked="0"/>
    </xf>
    <xf numFmtId="49" fontId="59" fillId="12" borderId="82" xfId="10" applyNumberFormat="1" applyFont="1" applyFill="1" applyBorder="1" applyAlignment="1" applyProtection="1">
      <alignment horizontal="center" vertical="center" wrapText="1"/>
      <protection locked="0"/>
    </xf>
    <xf numFmtId="49" fontId="59" fillId="12" borderId="83" xfId="10" applyNumberFormat="1" applyFont="1" applyFill="1" applyBorder="1" applyAlignment="1" applyProtection="1">
      <alignment horizontal="center" vertical="center" wrapText="1"/>
      <protection locked="0"/>
    </xf>
    <xf numFmtId="49" fontId="59" fillId="10" borderId="6" xfId="10" applyNumberFormat="1" applyFont="1" applyFill="1" applyBorder="1" applyAlignment="1" applyProtection="1">
      <alignment horizontal="center" vertical="center" wrapText="1"/>
      <protection locked="0"/>
    </xf>
    <xf numFmtId="49" fontId="59" fillId="10" borderId="0" xfId="10" applyNumberFormat="1" applyFont="1" applyFill="1" applyBorder="1" applyAlignment="1" applyProtection="1">
      <alignment horizontal="center" vertical="center" wrapText="1"/>
      <protection locked="0"/>
    </xf>
    <xf numFmtId="49" fontId="59" fillId="11" borderId="26" xfId="10" applyNumberFormat="1" applyFont="1" applyFill="1" applyBorder="1" applyAlignment="1" applyProtection="1">
      <alignment horizontal="center" vertical="top" wrapText="1"/>
      <protection locked="0"/>
    </xf>
    <xf numFmtId="49" fontId="59" fillId="11" borderId="82" xfId="10" applyNumberFormat="1" applyFont="1" applyFill="1" applyBorder="1" applyAlignment="1" applyProtection="1">
      <alignment horizontal="center" vertical="top" wrapText="1"/>
      <protection locked="0"/>
    </xf>
    <xf numFmtId="49" fontId="9" fillId="14" borderId="26" xfId="1" applyNumberFormat="1" applyFont="1" applyFill="1" applyBorder="1" applyAlignment="1">
      <alignment horizontal="left" vertical="center"/>
    </xf>
    <xf numFmtId="49" fontId="9" fillId="14" borderId="82" xfId="1" applyNumberFormat="1" applyFont="1" applyFill="1" applyBorder="1" applyAlignment="1">
      <alignment horizontal="left" vertical="center"/>
    </xf>
    <xf numFmtId="49" fontId="55" fillId="15" borderId="6" xfId="10" applyNumberFormat="1" applyFont="1" applyFill="1" applyBorder="1" applyAlignment="1" applyProtection="1">
      <alignment horizontal="center" vertical="center" wrapText="1"/>
      <protection locked="0"/>
    </xf>
    <xf numFmtId="49" fontId="59" fillId="0" borderId="990" xfId="10" applyNumberFormat="1" applyFont="1" applyFill="1" applyBorder="1" applyAlignment="1" applyProtection="1">
      <alignment horizontal="left" vertical="center" wrapText="1"/>
      <protection locked="0"/>
    </xf>
    <xf numFmtId="49" fontId="59" fillId="0" borderId="325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1096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1097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1085" xfId="10" applyNumberFormat="1" applyFont="1" applyFill="1" applyBorder="1" applyAlignment="1" applyProtection="1">
      <alignment horizontal="left" vertical="center"/>
      <protection locked="0"/>
    </xf>
    <xf numFmtId="0" fontId="61" fillId="0" borderId="1099" xfId="10" applyNumberFormat="1" applyFont="1" applyFill="1" applyBorder="1" applyAlignment="1" applyProtection="1">
      <alignment horizontal="left" vertical="center"/>
      <protection locked="0"/>
    </xf>
    <xf numFmtId="49" fontId="61" fillId="10" borderId="1085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1099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1104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1105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112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11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10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105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1072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1078" xfId="10" applyNumberFormat="1" applyFont="1" applyFill="1" applyBorder="1" applyAlignment="1" applyProtection="1">
      <alignment horizontal="left" vertical="center"/>
      <protection locked="0"/>
    </xf>
    <xf numFmtId="49" fontId="61" fillId="10" borderId="1072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1085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1086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1067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114" xfId="10" applyNumberFormat="1" applyFont="1" applyFill="1" applyBorder="1" applyAlignment="1" applyProtection="1">
      <alignment horizontal="left" vertical="center"/>
      <protection locked="0"/>
    </xf>
    <xf numFmtId="49" fontId="55" fillId="10" borderId="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0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6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06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64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1040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104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6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4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1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28" xfId="10" applyNumberFormat="1" applyFont="1" applyFill="1" applyBorder="1" applyAlignment="1" applyProtection="1">
      <alignment horizontal="center" vertical="center" wrapText="1"/>
      <protection locked="0"/>
    </xf>
    <xf numFmtId="49" fontId="61" fillId="10" borderId="1065" xfId="10" applyNumberFormat="1" applyFont="1" applyFill="1" applyBorder="1" applyAlignment="1" applyProtection="1">
      <alignment horizontal="left" vertical="center" wrapText="1"/>
      <protection locked="0"/>
    </xf>
    <xf numFmtId="0" fontId="62" fillId="0" borderId="1065" xfId="0" applyFont="1" applyBorder="1" applyAlignment="1">
      <alignment horizontal="left" vertical="center" wrapText="1"/>
    </xf>
    <xf numFmtId="49" fontId="59" fillId="0" borderId="114" xfId="10" applyNumberFormat="1" applyFont="1" applyFill="1" applyBorder="1" applyAlignment="1" applyProtection="1">
      <alignment horizontal="left" vertical="center" wrapText="1"/>
      <protection locked="0"/>
    </xf>
    <xf numFmtId="49" fontId="55" fillId="15" borderId="15" xfId="10" applyNumberFormat="1" applyFont="1" applyFill="1" applyBorder="1" applyAlignment="1" applyProtection="1">
      <alignment horizontal="center" vertical="center" wrapText="1"/>
      <protection locked="0"/>
    </xf>
    <xf numFmtId="49" fontId="59" fillId="10" borderId="114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1040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1057" xfId="10" applyNumberFormat="1" applyFont="1" applyFill="1" applyBorder="1" applyAlignment="1" applyProtection="1">
      <alignment horizontal="left" vertical="center" wrapText="1"/>
      <protection locked="0"/>
    </xf>
    <xf numFmtId="49" fontId="61" fillId="0" borderId="1057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4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1042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17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14" xfId="10" applyNumberFormat="1" applyFont="1" applyFill="1" applyBorder="1" applyAlignment="1" applyProtection="1">
      <alignment horizontal="center" vertical="center" wrapText="1"/>
      <protection locked="0"/>
    </xf>
    <xf numFmtId="49" fontId="59" fillId="0" borderId="324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1025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1025" xfId="10" applyNumberFormat="1" applyFont="1" applyFill="1" applyBorder="1" applyAlignment="1" applyProtection="1">
      <alignment horizontal="left" vertical="center" wrapText="1"/>
      <protection locked="0"/>
    </xf>
    <xf numFmtId="0" fontId="31" fillId="0" borderId="1025" xfId="0" applyFont="1" applyBorder="1" applyAlignment="1">
      <alignment horizontal="left" vertical="center" wrapText="1"/>
    </xf>
    <xf numFmtId="49" fontId="55" fillId="10" borderId="1025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1025" xfId="0" applyBorder="1" applyAlignment="1">
      <alignment horizontal="left" vertical="center" wrapText="1"/>
    </xf>
    <xf numFmtId="49" fontId="61" fillId="10" borderId="1032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103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1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20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955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2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30" xfId="10" applyNumberFormat="1" applyFont="1" applyFill="1" applyBorder="1" applyAlignment="1" applyProtection="1">
      <alignment horizontal="center" vertical="center" wrapText="1"/>
      <protection locked="0"/>
    </xf>
    <xf numFmtId="49" fontId="59" fillId="0" borderId="1019" xfId="10" applyNumberFormat="1" applyFont="1" applyFill="1" applyBorder="1" applyAlignment="1" applyProtection="1">
      <alignment horizontal="left" vertical="center" wrapText="1"/>
      <protection locked="0"/>
    </xf>
    <xf numFmtId="49" fontId="59" fillId="0" borderId="102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14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114" xfId="0" applyFont="1" applyBorder="1" applyAlignment="1">
      <alignment horizontal="left" vertical="center" wrapText="1"/>
    </xf>
    <xf numFmtId="49" fontId="55" fillId="10" borderId="15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936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955" xfId="10" applyNumberFormat="1" applyFont="1" applyFill="1" applyBorder="1" applyAlignment="1" applyProtection="1">
      <alignment horizontal="left" vertical="center" wrapText="1"/>
      <protection locked="0"/>
    </xf>
    <xf numFmtId="49" fontId="61" fillId="0" borderId="936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101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55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955" xfId="0" applyFont="1" applyBorder="1" applyAlignment="1">
      <alignment horizontal="left" vertical="center" wrapText="1"/>
    </xf>
    <xf numFmtId="49" fontId="61" fillId="10" borderId="961" xfId="10" applyNumberFormat="1" applyFont="1" applyFill="1" applyBorder="1" applyAlignment="1" applyProtection="1">
      <alignment horizontal="left" vertical="center" wrapText="1"/>
      <protection locked="0"/>
    </xf>
    <xf numFmtId="49" fontId="59" fillId="15" borderId="17" xfId="10" applyNumberFormat="1" applyFont="1" applyFill="1" applyBorder="1" applyAlignment="1" applyProtection="1">
      <alignment horizontal="center" vertical="center" wrapText="1"/>
      <protection locked="0"/>
    </xf>
    <xf numFmtId="49" fontId="59" fillId="15" borderId="15" xfId="10" applyNumberFormat="1" applyFont="1" applyFill="1" applyBorder="1" applyAlignment="1" applyProtection="1">
      <alignment horizontal="center" vertical="center" wrapText="1"/>
      <protection locked="0"/>
    </xf>
    <xf numFmtId="49" fontId="59" fillId="15" borderId="14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961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4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41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86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986" xfId="0" applyFont="1" applyBorder="1" applyAlignment="1">
      <alignment horizontal="left" vertical="center" wrapText="1"/>
    </xf>
    <xf numFmtId="49" fontId="61" fillId="10" borderId="986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986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95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8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985" xfId="10" applyNumberFormat="1" applyFont="1" applyFill="1" applyBorder="1" applyAlignment="1" applyProtection="1">
      <alignment horizontal="center" vertical="center" wrapText="1"/>
      <protection locked="0"/>
    </xf>
    <xf numFmtId="49" fontId="59" fillId="10" borderId="986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991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955" xfId="10" applyNumberFormat="1" applyFont="1" applyFill="1" applyBorder="1" applyAlignment="1" applyProtection="1">
      <alignment horizontal="left" vertical="center" wrapText="1"/>
      <protection locked="0"/>
    </xf>
    <xf numFmtId="0" fontId="62" fillId="0" borderId="955" xfId="0" applyFont="1" applyBorder="1" applyAlignment="1">
      <alignment horizontal="left" vertical="center" wrapText="1"/>
    </xf>
    <xf numFmtId="0" fontId="61" fillId="0" borderId="938" xfId="10" applyNumberFormat="1" applyFont="1" applyFill="1" applyBorder="1" applyAlignment="1" applyProtection="1">
      <alignment horizontal="left" vertical="center"/>
      <protection locked="0"/>
    </xf>
    <xf numFmtId="49" fontId="61" fillId="10" borderId="942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49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93" xfId="10" applyNumberFormat="1" applyFont="1" applyFill="1" applyBorder="1" applyAlignment="1" applyProtection="1">
      <alignment horizontal="left" vertical="center" wrapText="1"/>
      <protection locked="0"/>
    </xf>
    <xf numFmtId="49" fontId="59" fillId="0" borderId="918" xfId="10" applyNumberFormat="1" applyFont="1" applyFill="1" applyBorder="1" applyAlignment="1" applyProtection="1">
      <alignment horizontal="left" vertical="center" wrapText="1"/>
      <protection locked="0"/>
    </xf>
    <xf numFmtId="49" fontId="59" fillId="0" borderId="328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919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920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918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328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31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32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3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908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908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908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886" xfId="10" applyNumberFormat="1" applyFont="1" applyFill="1" applyBorder="1" applyAlignment="1" applyProtection="1">
      <alignment horizontal="left" vertical="center" wrapText="1"/>
      <protection locked="0"/>
    </xf>
    <xf numFmtId="49" fontId="59" fillId="0" borderId="886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886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886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86" xfId="10" applyNumberFormat="1" applyFont="1" applyFill="1" applyBorder="1" applyAlignment="1" applyProtection="1">
      <alignment horizontal="left" vertical="center" wrapText="1"/>
      <protection locked="0"/>
    </xf>
    <xf numFmtId="49" fontId="59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66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886" xfId="10" applyNumberFormat="1" applyFont="1" applyFill="1" applyBorder="1" applyAlignment="1" applyProtection="1">
      <alignment horizontal="left" vertical="center"/>
      <protection locked="0"/>
    </xf>
    <xf numFmtId="49" fontId="55" fillId="0" borderId="883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893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866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866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7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75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878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878" xfId="10" applyNumberFormat="1" applyFont="1" applyFill="1" applyBorder="1" applyAlignment="1" applyProtection="1">
      <alignment horizontal="left" vertical="center" wrapText="1"/>
      <protection locked="0"/>
    </xf>
    <xf numFmtId="49" fontId="55" fillId="6" borderId="1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6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622" xfId="10" applyNumberFormat="1" applyFont="1" applyFill="1" applyBorder="1" applyAlignment="1" applyProtection="1">
      <alignment horizontal="left" vertical="center" wrapText="1"/>
      <protection locked="0"/>
    </xf>
    <xf numFmtId="49" fontId="59" fillId="15" borderId="114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114" xfId="0" applyBorder="1" applyAlignment="1">
      <alignment horizontal="left" vertical="center" wrapText="1"/>
    </xf>
    <xf numFmtId="49" fontId="55" fillId="15" borderId="860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860" xfId="0" applyFont="1" applyBorder="1" applyAlignment="1">
      <alignment horizontal="left" vertical="center" wrapText="1"/>
    </xf>
    <xf numFmtId="49" fontId="59" fillId="10" borderId="855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848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55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48" xfId="10" applyNumberFormat="1" applyFont="1" applyFill="1" applyBorder="1" applyAlignment="1" applyProtection="1">
      <alignment horizontal="left" vertical="center" wrapText="1"/>
      <protection locked="0"/>
    </xf>
    <xf numFmtId="49" fontId="55" fillId="15" borderId="622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622" xfId="0" applyFont="1" applyBorder="1" applyAlignment="1">
      <alignment horizontal="left" vertical="center" wrapText="1"/>
    </xf>
    <xf numFmtId="49" fontId="59" fillId="10" borderId="622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22" xfId="10" applyNumberFormat="1" applyFont="1" applyFill="1" applyBorder="1" applyAlignment="1" applyProtection="1">
      <alignment horizontal="left" vertical="center" wrapText="1"/>
      <protection locked="0"/>
    </xf>
    <xf numFmtId="0" fontId="31" fillId="0" borderId="622" xfId="0" applyFont="1" applyBorder="1" applyAlignment="1">
      <alignment horizontal="left" vertical="center" wrapText="1"/>
    </xf>
    <xf numFmtId="0" fontId="0" fillId="0" borderId="622" xfId="0" applyBorder="1" applyAlignment="1">
      <alignment horizontal="left" vertical="center" wrapText="1"/>
    </xf>
    <xf numFmtId="49" fontId="60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59" fillId="0" borderId="48" xfId="10" applyNumberFormat="1" applyFont="1" applyFill="1" applyBorder="1" applyAlignment="1" applyProtection="1">
      <alignment horizontal="left" vertical="center" wrapText="1"/>
      <protection locked="0"/>
    </xf>
    <xf numFmtId="49" fontId="59" fillId="0" borderId="47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622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622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851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824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853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4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846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822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0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789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622" xfId="10" applyNumberFormat="1" applyFont="1" applyFill="1" applyBorder="1" applyAlignment="1" applyProtection="1">
      <alignment horizontal="left" vertical="center"/>
      <protection locked="0"/>
    </xf>
    <xf numFmtId="49" fontId="61" fillId="10" borderId="735" xfId="10" applyNumberFormat="1" applyFont="1" applyFill="1" applyBorder="1" applyAlignment="1" applyProtection="1">
      <alignment horizontal="left" vertical="center" wrapText="1"/>
      <protection locked="0"/>
    </xf>
    <xf numFmtId="0" fontId="62" fillId="0" borderId="735" xfId="0" applyFont="1" applyBorder="1" applyAlignment="1">
      <alignment horizontal="left" vertical="center" wrapText="1"/>
    </xf>
    <xf numFmtId="49" fontId="55" fillId="0" borderId="826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735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811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114" xfId="10" applyNumberFormat="1" applyFont="1" applyFill="1" applyBorder="1" applyAlignment="1" applyProtection="1">
      <alignment horizontal="left" vertical="center" wrapText="1"/>
      <protection locked="0"/>
    </xf>
    <xf numFmtId="0" fontId="62" fillId="0" borderId="622" xfId="0" applyFont="1" applyBorder="1" applyAlignment="1">
      <alignment horizontal="left" vertical="center" wrapText="1"/>
    </xf>
    <xf numFmtId="49" fontId="55" fillId="10" borderId="646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646" xfId="0" applyFont="1" applyBorder="1" applyAlignment="1">
      <alignment horizontal="left" vertical="center" wrapText="1"/>
    </xf>
    <xf numFmtId="49" fontId="55" fillId="0" borderId="646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646" xfId="10" applyNumberFormat="1" applyFont="1" applyFill="1" applyBorder="1" applyAlignment="1" applyProtection="1">
      <alignment horizontal="left" vertical="center"/>
      <protection locked="0"/>
    </xf>
    <xf numFmtId="49" fontId="61" fillId="10" borderId="646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307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308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646" xfId="0" applyBorder="1" applyAlignment="1">
      <alignment horizontal="left" vertical="center" wrapText="1"/>
    </xf>
    <xf numFmtId="49" fontId="61" fillId="10" borderId="787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307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649" xfId="0" applyFont="1" applyBorder="1" applyAlignment="1">
      <alignment horizontal="left" vertical="center" wrapText="1"/>
    </xf>
    <xf numFmtId="49" fontId="55" fillId="0" borderId="787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787" xfId="10" applyNumberFormat="1" applyFont="1" applyFill="1" applyBorder="1" applyAlignment="1" applyProtection="1">
      <alignment horizontal="left" vertical="center"/>
      <protection locked="0"/>
    </xf>
    <xf numFmtId="49" fontId="59" fillId="0" borderId="307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649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780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780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780" xfId="0" applyFont="1" applyBorder="1" applyAlignment="1">
      <alignment horizontal="left" vertical="center" wrapText="1"/>
    </xf>
    <xf numFmtId="49" fontId="59" fillId="10" borderId="646" xfId="10" applyNumberFormat="1" applyFont="1" applyFill="1" applyBorder="1" applyAlignment="1" applyProtection="1">
      <alignment horizontal="left" vertical="center" wrapText="1"/>
      <protection locked="0"/>
    </xf>
    <xf numFmtId="0" fontId="31" fillId="0" borderId="646" xfId="0" applyFont="1" applyBorder="1" applyAlignment="1">
      <alignment horizontal="left" vertical="center" wrapText="1"/>
    </xf>
    <xf numFmtId="49" fontId="55" fillId="10" borderId="76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69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49" fontId="55" fillId="10" borderId="735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736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0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49" fontId="55" fillId="0" borderId="704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718" xfId="10" applyNumberFormat="1" applyFont="1" applyFill="1" applyBorder="1" applyAlignment="1" applyProtection="1">
      <alignment horizontal="left" vertical="center" wrapText="1"/>
      <protection locked="0"/>
    </xf>
    <xf numFmtId="0" fontId="31" fillId="0" borderId="114" xfId="0" applyFont="1" applyBorder="1" applyAlignment="1">
      <alignment horizontal="left" vertical="center" wrapText="1"/>
    </xf>
    <xf numFmtId="49" fontId="55" fillId="10" borderId="727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727" xfId="0" applyFont="1" applyBorder="1" applyAlignment="1">
      <alignment horizontal="left" vertical="center" wrapText="1"/>
    </xf>
    <xf numFmtId="49" fontId="59" fillId="10" borderId="5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699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657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70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0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708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707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708" xfId="10" applyNumberFormat="1" applyFont="1" applyFill="1" applyBorder="1" applyAlignment="1" applyProtection="1">
      <alignment horizontal="left" vertical="center" wrapText="1"/>
      <protection locked="0"/>
    </xf>
    <xf numFmtId="0" fontId="62" fillId="0" borderId="709" xfId="0" applyFont="1" applyBorder="1" applyAlignment="1">
      <alignment horizontal="left" vertical="center" wrapText="1"/>
    </xf>
    <xf numFmtId="49" fontId="55" fillId="10" borderId="678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668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center" vertical="center" wrapText="1"/>
    </xf>
    <xf numFmtId="49" fontId="55" fillId="0" borderId="663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663" xfId="10" applyNumberFormat="1" applyFont="1" applyFill="1" applyBorder="1" applyAlignment="1" applyProtection="1">
      <alignment horizontal="left" vertical="center"/>
      <protection locked="0"/>
    </xf>
    <xf numFmtId="49" fontId="61" fillId="10" borderId="663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663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68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68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38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666" xfId="10" applyNumberFormat="1" applyFont="1" applyFill="1" applyBorder="1" applyAlignment="1" applyProtection="1">
      <alignment horizontal="left" vertical="center"/>
      <protection locked="0"/>
    </xf>
    <xf numFmtId="49" fontId="61" fillId="10" borderId="671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75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575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625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636" xfId="10" applyNumberFormat="1" applyFont="1" applyFill="1" applyBorder="1" applyAlignment="1" applyProtection="1">
      <alignment horizontal="left" vertical="center" wrapText="1"/>
      <protection locked="0"/>
    </xf>
    <xf numFmtId="0" fontId="62" fillId="0" borderId="636" xfId="0" applyFont="1" applyBorder="1" applyAlignment="1">
      <alignment horizontal="left" vertical="center" wrapText="1"/>
    </xf>
    <xf numFmtId="49" fontId="55" fillId="0" borderId="636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636" xfId="10" applyNumberFormat="1" applyFont="1" applyFill="1" applyBorder="1" applyAlignment="1" applyProtection="1">
      <alignment horizontal="left" vertical="center"/>
      <protection locked="0"/>
    </xf>
    <xf numFmtId="0" fontId="61" fillId="0" borderId="575" xfId="10" applyNumberFormat="1" applyFont="1" applyFill="1" applyBorder="1" applyAlignment="1" applyProtection="1">
      <alignment horizontal="left" vertical="center"/>
      <protection locked="0"/>
    </xf>
    <xf numFmtId="49" fontId="61" fillId="10" borderId="114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597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597" xfId="10" applyNumberFormat="1" applyFont="1" applyFill="1" applyBorder="1" applyAlignment="1" applyProtection="1">
      <alignment horizontal="left" vertical="center"/>
      <protection locked="0"/>
    </xf>
    <xf numFmtId="49" fontId="61" fillId="10" borderId="602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597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593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594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575" xfId="10" applyNumberFormat="1" applyFont="1" applyFill="1" applyBorder="1" applyAlignment="1" applyProtection="1">
      <alignment horizontal="left" vertical="center" wrapText="1"/>
      <protection locked="0"/>
    </xf>
    <xf numFmtId="0" fontId="62" fillId="0" borderId="114" xfId="0" applyFont="1" applyBorder="1" applyAlignment="1">
      <alignment horizontal="left" vertical="center" wrapText="1"/>
    </xf>
    <xf numFmtId="49" fontId="59" fillId="15" borderId="585" xfId="10" applyNumberFormat="1" applyFont="1" applyFill="1" applyBorder="1" applyAlignment="1" applyProtection="1">
      <alignment horizontal="left" vertical="center" wrapText="1"/>
      <protection locked="0"/>
    </xf>
    <xf numFmtId="49" fontId="59" fillId="15" borderId="586" xfId="10" applyNumberFormat="1" applyFont="1" applyFill="1" applyBorder="1" applyAlignment="1" applyProtection="1">
      <alignment horizontal="left" vertical="center" wrapText="1"/>
      <protection locked="0"/>
    </xf>
    <xf numFmtId="49" fontId="55" fillId="15" borderId="587" xfId="10" applyNumberFormat="1" applyFont="1" applyFill="1" applyBorder="1" applyAlignment="1" applyProtection="1">
      <alignment horizontal="left" vertical="center" wrapText="1"/>
      <protection locked="0"/>
    </xf>
    <xf numFmtId="49" fontId="55" fillId="15" borderId="588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586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575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8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77" xfId="10" applyNumberFormat="1" applyFont="1" applyFill="1" applyBorder="1" applyAlignment="1" applyProtection="1">
      <alignment horizontal="center" vertical="center" wrapText="1"/>
      <protection locked="0"/>
    </xf>
    <xf numFmtId="0" fontId="62" fillId="0" borderId="575" xfId="0" applyFont="1" applyBorder="1" applyAlignment="1">
      <alignment horizontal="left" vertical="center" wrapText="1"/>
    </xf>
    <xf numFmtId="49" fontId="59" fillId="10" borderId="566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66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32" xfId="10" applyNumberFormat="1" applyFont="1" applyFill="1" applyBorder="1" applyAlignment="1" applyProtection="1">
      <alignment horizontal="center" vertical="center" wrapText="1"/>
      <protection locked="0"/>
    </xf>
    <xf numFmtId="49" fontId="61" fillId="10" borderId="532" xfId="10" applyNumberFormat="1" applyFont="1" applyFill="1" applyBorder="1" applyAlignment="1" applyProtection="1">
      <alignment horizontal="left" vertical="center" wrapText="1"/>
      <protection locked="0"/>
    </xf>
    <xf numFmtId="0" fontId="62" fillId="0" borderId="532" xfId="0" applyFont="1" applyBorder="1" applyAlignment="1">
      <alignment horizontal="left" vertical="center" wrapText="1"/>
    </xf>
    <xf numFmtId="49" fontId="55" fillId="10" borderId="539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532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566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566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55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32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532" xfId="10" applyNumberFormat="1" applyFont="1" applyFill="1" applyBorder="1" applyAlignment="1" applyProtection="1">
      <alignment horizontal="left" vertical="center"/>
      <protection locked="0"/>
    </xf>
    <xf numFmtId="49" fontId="55" fillId="10" borderId="549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50" xfId="10" applyNumberFormat="1" applyFont="1" applyFill="1" applyBorder="1" applyAlignment="1" applyProtection="1">
      <alignment horizontal="center" vertical="center" wrapText="1"/>
      <protection locked="0"/>
    </xf>
    <xf numFmtId="49" fontId="59" fillId="10" borderId="524" xfId="10" applyNumberFormat="1" applyFont="1" applyFill="1" applyBorder="1" applyAlignment="1" applyProtection="1">
      <alignment horizontal="left" vertical="center" wrapText="1"/>
      <protection locked="0"/>
    </xf>
    <xf numFmtId="0" fontId="31" fillId="0" borderId="552" xfId="0" applyFont="1" applyBorder="1" applyAlignment="1">
      <alignment horizontal="left" vertical="center" wrapText="1"/>
    </xf>
    <xf numFmtId="49" fontId="59" fillId="10" borderId="512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513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520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521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2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525" xfId="10" applyNumberFormat="1" applyFont="1" applyFill="1" applyBorder="1" applyAlignment="1" applyProtection="1">
      <alignment horizontal="center" vertical="center" wrapText="1"/>
      <protection locked="0"/>
    </xf>
    <xf numFmtId="49" fontId="59" fillId="10" borderId="526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527" xfId="10" applyNumberFormat="1" applyFont="1" applyFill="1" applyBorder="1" applyAlignment="1" applyProtection="1">
      <alignment horizontal="left" vertical="center" wrapText="1"/>
      <protection locked="0"/>
    </xf>
    <xf numFmtId="0" fontId="0" fillId="6" borderId="17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49" fontId="55" fillId="15" borderId="532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532" xfId="0" applyFont="1" applyBorder="1" applyAlignment="1">
      <alignment horizontal="left" vertical="center" wrapText="1"/>
    </xf>
    <xf numFmtId="49" fontId="55" fillId="15" borderId="536" xfId="10" applyNumberFormat="1" applyFont="1" applyFill="1" applyBorder="1" applyAlignment="1" applyProtection="1">
      <alignment horizontal="center" vertical="center" wrapText="1"/>
      <protection locked="0"/>
    </xf>
    <xf numFmtId="49" fontId="55" fillId="15" borderId="537" xfId="10" applyNumberFormat="1" applyFont="1" applyFill="1" applyBorder="1" applyAlignment="1" applyProtection="1">
      <alignment horizontal="center" vertical="center" wrapText="1"/>
      <protection locked="0"/>
    </xf>
    <xf numFmtId="49" fontId="61" fillId="10" borderId="0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516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516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516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492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493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495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496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501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501" xfId="10" applyNumberFormat="1" applyFont="1" applyFill="1" applyBorder="1" applyAlignment="1" applyProtection="1">
      <alignment horizontal="left" vertical="center"/>
      <protection locked="0"/>
    </xf>
    <xf numFmtId="49" fontId="61" fillId="10" borderId="501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482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482" xfId="10" applyNumberFormat="1" applyFont="1" applyFill="1" applyBorder="1" applyAlignment="1" applyProtection="1">
      <alignment horizontal="left" vertical="center" wrapText="1"/>
      <protection locked="0"/>
    </xf>
    <xf numFmtId="0" fontId="62" fillId="0" borderId="482" xfId="0" applyFont="1" applyBorder="1" applyAlignment="1">
      <alignment horizontal="left" vertical="center" wrapText="1"/>
    </xf>
    <xf numFmtId="49" fontId="55" fillId="10" borderId="213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463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463" xfId="10" applyNumberFormat="1" applyFont="1" applyFill="1" applyBorder="1" applyAlignment="1" applyProtection="1">
      <alignment horizontal="left" vertical="center"/>
      <protection locked="0"/>
    </xf>
    <xf numFmtId="49" fontId="55" fillId="10" borderId="463" xfId="10" applyNumberFormat="1" applyFont="1" applyFill="1" applyBorder="1" applyAlignment="1" applyProtection="1">
      <alignment horizontal="left" vertical="center" wrapText="1"/>
      <protection locked="0"/>
    </xf>
    <xf numFmtId="49" fontId="59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463" xfId="10" applyNumberFormat="1" applyFont="1" applyFill="1" applyBorder="1" applyAlignment="1" applyProtection="1">
      <alignment horizontal="left" vertical="center" wrapText="1"/>
      <protection locked="0"/>
    </xf>
    <xf numFmtId="0" fontId="62" fillId="0" borderId="463" xfId="0" applyFont="1" applyBorder="1" applyAlignment="1">
      <alignment horizontal="left" vertical="center" wrapText="1"/>
    </xf>
    <xf numFmtId="0" fontId="0" fillId="6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59" fillId="10" borderId="47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474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474" xfId="10" applyNumberFormat="1" applyFont="1" applyFill="1" applyBorder="1" applyAlignment="1" applyProtection="1">
      <alignment horizontal="left" vertical="center" wrapText="1"/>
      <protection locked="0"/>
    </xf>
    <xf numFmtId="0" fontId="62" fillId="0" borderId="474" xfId="0" applyFont="1" applyBorder="1" applyAlignment="1">
      <alignment horizontal="left" vertical="center" wrapText="1"/>
    </xf>
    <xf numFmtId="49" fontId="55" fillId="0" borderId="463" xfId="10" applyNumberFormat="1" applyFont="1" applyFill="1" applyBorder="1" applyAlignment="1" applyProtection="1">
      <alignment vertical="center" wrapText="1"/>
      <protection locked="0"/>
    </xf>
    <xf numFmtId="0" fontId="0" fillId="0" borderId="463" xfId="0" applyFont="1" applyBorder="1" applyAlignment="1">
      <alignment vertical="center" wrapText="1"/>
    </xf>
    <xf numFmtId="49" fontId="61" fillId="0" borderId="463" xfId="10" applyNumberFormat="1" applyFont="1" applyFill="1" applyBorder="1" applyAlignment="1" applyProtection="1">
      <alignment vertical="center" wrapText="1"/>
      <protection locked="0"/>
    </xf>
    <xf numFmtId="0" fontId="62" fillId="0" borderId="463" xfId="0" applyFont="1" applyBorder="1" applyAlignment="1">
      <alignment vertical="center" wrapText="1"/>
    </xf>
    <xf numFmtId="49" fontId="55" fillId="10" borderId="11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62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461" xfId="10" applyNumberFormat="1" applyFont="1" applyFill="1" applyBorder="1" applyAlignment="1" applyProtection="1">
      <alignment horizontal="center" vertical="center" wrapText="1"/>
      <protection locked="0"/>
    </xf>
    <xf numFmtId="49" fontId="59" fillId="0" borderId="463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313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313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254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313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313" xfId="10" applyNumberFormat="1" applyFont="1" applyFill="1" applyBorder="1" applyAlignment="1" applyProtection="1">
      <alignment horizontal="left" vertical="center" wrapText="1"/>
      <protection locked="0"/>
    </xf>
    <xf numFmtId="49" fontId="61" fillId="0" borderId="313" xfId="10" applyNumberFormat="1" applyFont="1" applyFill="1" applyBorder="1" applyAlignment="1" applyProtection="1">
      <alignment vertical="center" wrapText="1"/>
      <protection locked="0"/>
    </xf>
    <xf numFmtId="0" fontId="62" fillId="0" borderId="313" xfId="0" applyFont="1" applyBorder="1" applyAlignment="1">
      <alignment vertical="center" wrapText="1"/>
    </xf>
    <xf numFmtId="49" fontId="55" fillId="0" borderId="434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326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434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1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05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306" xfId="10" applyNumberFormat="1" applyFont="1" applyFill="1" applyBorder="1" applyAlignment="1" applyProtection="1">
      <alignment horizontal="center" vertical="center" wrapText="1"/>
      <protection locked="0"/>
    </xf>
    <xf numFmtId="49" fontId="59" fillId="10" borderId="309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310" xfId="10" applyNumberFormat="1" applyFont="1" applyFill="1" applyBorder="1" applyAlignment="1" applyProtection="1">
      <alignment horizontal="left" vertical="center" wrapText="1"/>
      <protection locked="0"/>
    </xf>
    <xf numFmtId="0" fontId="62" fillId="0" borderId="313" xfId="0" applyFont="1" applyBorder="1" applyAlignment="1">
      <alignment horizontal="left" vertical="center" wrapText="1"/>
    </xf>
    <xf numFmtId="0" fontId="0" fillId="6" borderId="14" xfId="0" applyFill="1" applyBorder="1" applyAlignment="1">
      <alignment horizontal="center" vertical="center" wrapText="1"/>
    </xf>
    <xf numFmtId="49" fontId="55" fillId="0" borderId="326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221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231" xfId="10" applyNumberFormat="1" applyFont="1" applyFill="1" applyBorder="1" applyAlignment="1" applyProtection="1">
      <alignment horizontal="left" vertical="center"/>
      <protection locked="0"/>
    </xf>
    <xf numFmtId="49" fontId="61" fillId="10" borderId="254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291" xfId="10" applyNumberFormat="1" applyFont="1" applyFill="1" applyBorder="1" applyAlignment="1" applyProtection="1">
      <alignment horizontal="left" vertical="center" wrapText="1"/>
      <protection locked="0"/>
    </xf>
    <xf numFmtId="49" fontId="55" fillId="0" borderId="298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298" xfId="10" applyNumberFormat="1" applyFont="1" applyFill="1" applyBorder="1" applyAlignment="1" applyProtection="1">
      <alignment horizontal="left" vertical="center"/>
      <protection locked="0"/>
    </xf>
    <xf numFmtId="49" fontId="61" fillId="10" borderId="301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298" xfId="10" applyNumberFormat="1" applyFont="1" applyFill="1" applyBorder="1" applyAlignment="1" applyProtection="1">
      <alignment horizontal="left" vertical="center" wrapText="1"/>
      <protection locked="0"/>
    </xf>
    <xf numFmtId="49" fontId="61" fillId="10" borderId="138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213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18" xfId="10" applyNumberFormat="1" applyFont="1" applyFill="1" applyBorder="1" applyAlignment="1" applyProtection="1">
      <alignment horizontal="center" vertical="center" wrapText="1"/>
      <protection locked="0"/>
    </xf>
    <xf numFmtId="49" fontId="55" fillId="10" borderId="215" xfId="10" applyNumberFormat="1" applyFont="1" applyFill="1" applyBorder="1" applyAlignment="1" applyProtection="1">
      <alignment horizontal="center" vertical="center" wrapText="1"/>
      <protection locked="0"/>
    </xf>
    <xf numFmtId="49" fontId="59" fillId="10" borderId="219" xfId="10" applyNumberFormat="1" applyFont="1" applyFill="1" applyBorder="1" applyAlignment="1" applyProtection="1">
      <alignment horizontal="left" vertical="center" wrapText="1"/>
      <protection locked="0"/>
    </xf>
    <xf numFmtId="49" fontId="59" fillId="10" borderId="220" xfId="10" applyNumberFormat="1" applyFont="1" applyFill="1" applyBorder="1" applyAlignment="1" applyProtection="1">
      <alignment horizontal="left" vertical="center" wrapText="1"/>
      <protection locked="0"/>
    </xf>
    <xf numFmtId="49" fontId="55" fillId="10" borderId="221" xfId="10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10" applyNumberFormat="1" applyFont="1" applyFill="1" applyBorder="1" applyAlignment="1" applyProtection="1">
      <alignment horizontal="center" vertical="center" wrapText="1"/>
      <protection locked="0"/>
    </xf>
    <xf numFmtId="49" fontId="56" fillId="10" borderId="0" xfId="10" applyNumberFormat="1" applyFont="1" applyFill="1" applyBorder="1" applyAlignment="1" applyProtection="1">
      <alignment horizontal="center" vertical="center" wrapText="1"/>
      <protection locked="0"/>
    </xf>
    <xf numFmtId="49" fontId="55" fillId="0" borderId="115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115" xfId="10" applyNumberFormat="1" applyFont="1" applyFill="1" applyBorder="1" applyAlignment="1" applyProtection="1">
      <alignment horizontal="left" vertical="center"/>
      <protection locked="0"/>
    </xf>
    <xf numFmtId="49" fontId="9" fillId="20" borderId="1129" xfId="1" applyNumberFormat="1" applyFont="1" applyFill="1" applyBorder="1" applyAlignment="1">
      <alignment horizontal="left" vertical="center"/>
    </xf>
    <xf numFmtId="49" fontId="73" fillId="0" borderId="1142" xfId="1" applyNumberFormat="1" applyFont="1" applyFill="1" applyBorder="1" applyAlignment="1">
      <alignment horizontal="center" vertical="top"/>
    </xf>
    <xf numFmtId="49" fontId="73" fillId="0" borderId="1129" xfId="1" applyNumberFormat="1" applyFont="1" applyFill="1" applyBorder="1" applyAlignment="1">
      <alignment horizontal="center" vertical="top"/>
    </xf>
    <xf numFmtId="49" fontId="73" fillId="0" borderId="1106" xfId="1" applyNumberFormat="1" applyFont="1" applyFill="1" applyBorder="1" applyAlignment="1">
      <alignment horizontal="center" vertical="top"/>
    </xf>
    <xf numFmtId="49" fontId="78" fillId="0" borderId="1142" xfId="1" applyNumberFormat="1" applyFont="1" applyFill="1" applyBorder="1" applyAlignment="1">
      <alignment horizontal="center" vertical="center"/>
    </xf>
    <xf numFmtId="0" fontId="13" fillId="0" borderId="1129" xfId="1" applyFont="1" applyFill="1" applyBorder="1" applyAlignment="1">
      <alignment horizontal="left" vertical="center" wrapText="1"/>
    </xf>
    <xf numFmtId="0" fontId="78" fillId="0" borderId="1129" xfId="1" applyFont="1" applyFill="1" applyBorder="1" applyAlignment="1">
      <alignment horizontal="center" vertical="center"/>
    </xf>
    <xf numFmtId="0" fontId="78" fillId="0" borderId="1130" xfId="1" applyFont="1" applyFill="1" applyBorder="1" applyAlignment="1">
      <alignment horizontal="center" vertical="center"/>
    </xf>
    <xf numFmtId="0" fontId="78" fillId="0" borderId="1141" xfId="1" applyFont="1" applyFill="1" applyBorder="1" applyAlignment="1">
      <alignment horizontal="center" vertical="center"/>
    </xf>
    <xf numFmtId="49" fontId="78" fillId="0" borderId="1130" xfId="1" applyNumberFormat="1" applyFont="1" applyFill="1" applyBorder="1" applyAlignment="1">
      <alignment horizontal="center" vertical="center"/>
    </xf>
    <xf numFmtId="49" fontId="78" fillId="0" borderId="1141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right" vertical="center" wrapText="1"/>
    </xf>
    <xf numFmtId="0" fontId="16" fillId="0" borderId="0" xfId="1" applyFont="1" applyBorder="1" applyAlignment="1">
      <alignment horizontal="center" vertical="center" wrapText="1"/>
    </xf>
    <xf numFmtId="0" fontId="82" fillId="0" borderId="0" xfId="1" applyFont="1" applyBorder="1" applyAlignment="1">
      <alignment horizontal="right" vertical="center"/>
    </xf>
    <xf numFmtId="0" fontId="83" fillId="19" borderId="1135" xfId="1" applyFont="1" applyFill="1" applyBorder="1" applyAlignment="1">
      <alignment horizontal="center" vertical="center"/>
    </xf>
    <xf numFmtId="0" fontId="83" fillId="19" borderId="1142" xfId="1" applyFont="1" applyFill="1" applyBorder="1" applyAlignment="1">
      <alignment horizontal="center" vertical="center"/>
    </xf>
    <xf numFmtId="0" fontId="83" fillId="19" borderId="1136" xfId="1" applyFont="1" applyFill="1" applyBorder="1" applyAlignment="1">
      <alignment horizontal="center" vertical="center"/>
    </xf>
    <xf numFmtId="0" fontId="83" fillId="19" borderId="1129" xfId="1" applyFont="1" applyFill="1" applyBorder="1" applyAlignment="1">
      <alignment horizontal="center" vertical="center"/>
    </xf>
    <xf numFmtId="0" fontId="84" fillId="19" borderId="1136" xfId="1" applyFont="1" applyFill="1" applyBorder="1" applyAlignment="1">
      <alignment horizontal="center" vertical="center"/>
    </xf>
    <xf numFmtId="0" fontId="83" fillId="19" borderId="1136" xfId="1" applyFont="1" applyFill="1" applyBorder="1" applyAlignment="1">
      <alignment horizontal="center" vertical="center" wrapText="1"/>
    </xf>
    <xf numFmtId="0" fontId="83" fillId="19" borderId="1129" xfId="1" applyFont="1" applyFill="1" applyBorder="1" applyAlignment="1">
      <alignment horizontal="center" vertical="center" wrapText="1"/>
    </xf>
    <xf numFmtId="0" fontId="84" fillId="19" borderId="1136" xfId="1" applyFont="1" applyFill="1" applyBorder="1" applyAlignment="1">
      <alignment horizontal="center" vertical="center" wrapText="1"/>
    </xf>
    <xf numFmtId="0" fontId="85" fillId="19" borderId="1136" xfId="1" applyFont="1" applyFill="1" applyBorder="1" applyAlignment="1">
      <alignment horizontal="center" vertical="center" wrapText="1"/>
    </xf>
    <xf numFmtId="0" fontId="85" fillId="19" borderId="1129" xfId="1" applyFont="1" applyFill="1" applyBorder="1" applyAlignment="1">
      <alignment horizontal="center" vertical="center" wrapText="1"/>
    </xf>
    <xf numFmtId="0" fontId="85" fillId="19" borderId="1136" xfId="1" applyFont="1" applyFill="1" applyBorder="1" applyAlignment="1">
      <alignment horizontal="center" vertical="center"/>
    </xf>
    <xf numFmtId="0" fontId="85" fillId="19" borderId="1144" xfId="1" applyFont="1" applyFill="1" applyBorder="1" applyAlignment="1">
      <alignment horizontal="center" vertical="center"/>
    </xf>
    <xf numFmtId="49" fontId="78" fillId="0" borderId="1129" xfId="1" applyNumberFormat="1" applyFont="1" applyFill="1" applyBorder="1" applyAlignment="1">
      <alignment horizontal="center" vertical="center"/>
    </xf>
    <xf numFmtId="0" fontId="78" fillId="0" borderId="1128" xfId="1" applyFont="1" applyFill="1" applyBorder="1" applyAlignment="1">
      <alignment horizontal="center" vertical="center"/>
    </xf>
    <xf numFmtId="0" fontId="78" fillId="0" borderId="1127" xfId="1" applyFont="1" applyFill="1" applyBorder="1" applyAlignment="1">
      <alignment horizontal="center" vertical="center"/>
    </xf>
    <xf numFmtId="0" fontId="78" fillId="0" borderId="1145" xfId="1" applyFont="1" applyFill="1" applyBorder="1" applyAlignment="1">
      <alignment horizontal="center" vertical="center"/>
    </xf>
    <xf numFmtId="0" fontId="78" fillId="0" borderId="1120" xfId="1" applyFont="1" applyFill="1" applyBorder="1" applyAlignment="1">
      <alignment horizontal="center" vertical="center"/>
    </xf>
    <xf numFmtId="49" fontId="78" fillId="0" borderId="1140" xfId="1" applyNumberFormat="1" applyFont="1" applyFill="1" applyBorder="1" applyAlignment="1">
      <alignment horizontal="center" vertical="center"/>
    </xf>
    <xf numFmtId="49" fontId="78" fillId="0" borderId="103" xfId="1" applyNumberFormat="1" applyFont="1" applyFill="1" applyBorder="1" applyAlignment="1">
      <alignment horizontal="center" vertical="center"/>
    </xf>
    <xf numFmtId="49" fontId="78" fillId="0" borderId="104" xfId="1" applyNumberFormat="1" applyFont="1" applyFill="1" applyBorder="1" applyAlignment="1">
      <alignment horizontal="center" vertical="center"/>
    </xf>
    <xf numFmtId="0" fontId="78" fillId="0" borderId="1130" xfId="1" applyFont="1" applyFill="1" applyBorder="1" applyAlignment="1">
      <alignment horizontal="left" vertical="center" wrapText="1"/>
    </xf>
    <xf numFmtId="0" fontId="78" fillId="0" borderId="1152" xfId="1" applyFont="1" applyFill="1" applyBorder="1" applyAlignment="1">
      <alignment horizontal="left" vertical="center" wrapText="1"/>
    </xf>
    <xf numFmtId="0" fontId="78" fillId="0" borderId="1141" xfId="1" applyFont="1" applyFill="1" applyBorder="1" applyAlignment="1">
      <alignment horizontal="left" vertical="center" wrapText="1"/>
    </xf>
    <xf numFmtId="0" fontId="78" fillId="0" borderId="1152" xfId="1" applyFont="1" applyFill="1" applyBorder="1" applyAlignment="1">
      <alignment horizontal="center" vertical="center"/>
    </xf>
    <xf numFmtId="49" fontId="78" fillId="0" borderId="1152" xfId="1" applyNumberFormat="1" applyFont="1" applyFill="1" applyBorder="1" applyAlignment="1">
      <alignment horizontal="center" vertical="center"/>
    </xf>
    <xf numFmtId="0" fontId="78" fillId="0" borderId="1129" xfId="1" applyFont="1" applyFill="1" applyBorder="1" applyAlignment="1">
      <alignment horizontal="left" vertical="center" wrapText="1"/>
    </xf>
    <xf numFmtId="0" fontId="13" fillId="0" borderId="1130" xfId="1" applyFont="1" applyFill="1" applyBorder="1" applyAlignment="1">
      <alignment horizontal="left" vertical="center" wrapText="1"/>
    </xf>
    <xf numFmtId="0" fontId="13" fillId="0" borderId="1152" xfId="1" applyFont="1" applyFill="1" applyBorder="1" applyAlignment="1">
      <alignment horizontal="left" vertical="center" wrapText="1"/>
    </xf>
    <xf numFmtId="0" fontId="13" fillId="0" borderId="1141" xfId="1" applyFont="1" applyFill="1" applyBorder="1" applyAlignment="1">
      <alignment horizontal="left" vertical="center" wrapText="1"/>
    </xf>
    <xf numFmtId="49" fontId="91" fillId="0" borderId="1142" xfId="1" applyNumberFormat="1" applyFont="1" applyFill="1" applyBorder="1" applyAlignment="1">
      <alignment horizontal="center" vertical="center"/>
    </xf>
    <xf numFmtId="0" fontId="92" fillId="0" borderId="1129" xfId="1" applyFont="1" applyFill="1" applyBorder="1" applyAlignment="1">
      <alignment horizontal="left" vertical="center" wrapText="1"/>
    </xf>
    <xf numFmtId="0" fontId="91" fillId="0" borderId="1129" xfId="1" applyFont="1" applyFill="1" applyBorder="1" applyAlignment="1">
      <alignment horizontal="center" vertical="center"/>
    </xf>
    <xf numFmtId="49" fontId="91" fillId="0" borderId="1129" xfId="1" applyNumberFormat="1" applyFont="1" applyFill="1" applyBorder="1" applyAlignment="1">
      <alignment horizontal="center" vertical="center"/>
    </xf>
    <xf numFmtId="49" fontId="91" fillId="0" borderId="1140" xfId="1" applyNumberFormat="1" applyFont="1" applyFill="1" applyBorder="1" applyAlignment="1">
      <alignment horizontal="center" vertical="center"/>
    </xf>
    <xf numFmtId="49" fontId="91" fillId="0" borderId="103" xfId="1" applyNumberFormat="1" applyFont="1" applyFill="1" applyBorder="1" applyAlignment="1">
      <alignment horizontal="center" vertical="center"/>
    </xf>
    <xf numFmtId="49" fontId="91" fillId="0" borderId="104" xfId="1" applyNumberFormat="1" applyFont="1" applyFill="1" applyBorder="1" applyAlignment="1">
      <alignment horizontal="center" vertical="center"/>
    </xf>
    <xf numFmtId="0" fontId="92" fillId="0" borderId="1130" xfId="1" applyFont="1" applyFill="1" applyBorder="1" applyAlignment="1">
      <alignment horizontal="left" vertical="center" wrapText="1"/>
    </xf>
    <xf numFmtId="0" fontId="92" fillId="0" borderId="1152" xfId="1" applyFont="1" applyFill="1" applyBorder="1" applyAlignment="1">
      <alignment horizontal="left" vertical="center" wrapText="1"/>
    </xf>
    <xf numFmtId="0" fontId="92" fillId="0" borderId="1141" xfId="1" applyFont="1" applyFill="1" applyBorder="1" applyAlignment="1">
      <alignment horizontal="left" vertical="center" wrapText="1"/>
    </xf>
    <xf numFmtId="49" fontId="91" fillId="0" borderId="1130" xfId="1" applyNumberFormat="1" applyFont="1" applyFill="1" applyBorder="1" applyAlignment="1">
      <alignment horizontal="center" vertical="center"/>
    </xf>
    <xf numFmtId="49" fontId="91" fillId="0" borderId="1152" xfId="1" applyNumberFormat="1" applyFont="1" applyFill="1" applyBorder="1" applyAlignment="1">
      <alignment horizontal="center" vertical="center"/>
    </xf>
    <xf numFmtId="49" fontId="91" fillId="0" borderId="1141" xfId="1" applyNumberFormat="1" applyFont="1" applyFill="1" applyBorder="1" applyAlignment="1">
      <alignment horizontal="center" vertical="center"/>
    </xf>
    <xf numFmtId="49" fontId="12" fillId="0" borderId="1142" xfId="1" applyNumberFormat="1" applyFont="1" applyFill="1" applyBorder="1" applyAlignment="1">
      <alignment horizontal="center" vertical="top"/>
    </xf>
    <xf numFmtId="49" fontId="12" fillId="0" borderId="1129" xfId="1" applyNumberFormat="1" applyFont="1" applyFill="1" applyBorder="1" applyAlignment="1">
      <alignment horizontal="center" vertical="top"/>
    </xf>
    <xf numFmtId="49" fontId="12" fillId="0" borderId="1106" xfId="1" applyNumberFormat="1" applyFont="1" applyFill="1" applyBorder="1" applyAlignment="1">
      <alignment horizontal="center" vertical="top"/>
    </xf>
    <xf numFmtId="49" fontId="9" fillId="20" borderId="1129" xfId="1" applyNumberFormat="1" applyFont="1" applyFill="1" applyBorder="1" applyAlignment="1">
      <alignment horizontal="left" vertical="center" wrapText="1"/>
    </xf>
    <xf numFmtId="49" fontId="7" fillId="0" borderId="1142" xfId="1" applyNumberFormat="1" applyFont="1" applyFill="1" applyBorder="1" applyAlignment="1">
      <alignment horizontal="center" vertical="top"/>
    </xf>
    <xf numFmtId="49" fontId="7" fillId="0" borderId="1129" xfId="1" applyNumberFormat="1" applyFont="1" applyFill="1" applyBorder="1" applyAlignment="1">
      <alignment horizontal="center" vertical="top"/>
    </xf>
    <xf numFmtId="49" fontId="7" fillId="0" borderId="1106" xfId="1" applyNumberFormat="1" applyFont="1" applyFill="1" applyBorder="1" applyAlignment="1">
      <alignment horizontal="center" vertical="top"/>
    </xf>
    <xf numFmtId="49" fontId="12" fillId="0" borderId="104" xfId="1" applyNumberFormat="1" applyFont="1" applyFill="1" applyBorder="1" applyAlignment="1">
      <alignment horizontal="center" vertical="top"/>
    </xf>
    <xf numFmtId="49" fontId="12" fillId="0" borderId="1141" xfId="1" applyNumberFormat="1" applyFont="1" applyFill="1" applyBorder="1" applyAlignment="1">
      <alignment horizontal="center" vertical="top"/>
    </xf>
    <xf numFmtId="49" fontId="12" fillId="0" borderId="1095" xfId="1" applyNumberFormat="1" applyFont="1" applyFill="1" applyBorder="1" applyAlignment="1">
      <alignment horizontal="center" vertical="top"/>
    </xf>
    <xf numFmtId="49" fontId="12" fillId="19" borderId="26" xfId="1" applyNumberFormat="1" applyFont="1" applyFill="1" applyBorder="1" applyAlignment="1">
      <alignment horizontal="center" vertical="center"/>
    </xf>
    <xf numFmtId="49" fontId="12" fillId="19" borderId="82" xfId="1" applyNumberFormat="1" applyFont="1" applyFill="1" applyBorder="1" applyAlignment="1">
      <alignment horizontal="center" vertical="center"/>
    </xf>
    <xf numFmtId="0" fontId="5" fillId="0" borderId="0" xfId="1" applyBorder="1" applyAlignment="1">
      <alignment horizontal="left"/>
    </xf>
    <xf numFmtId="0" fontId="70" fillId="0" borderId="0" xfId="1" applyFont="1" applyAlignment="1">
      <alignment horizontal="left"/>
    </xf>
    <xf numFmtId="0" fontId="91" fillId="0" borderId="1130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0" fontId="20" fillId="0" borderId="6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20" fillId="0" borderId="5" xfId="1" applyFont="1" applyBorder="1" applyAlignment="1">
      <alignment horizontal="left"/>
    </xf>
    <xf numFmtId="0" fontId="12" fillId="0" borderId="17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wrapText="1"/>
    </xf>
    <xf numFmtId="0" fontId="20" fillId="0" borderId="0" xfId="1" applyFont="1" applyBorder="1" applyAlignment="1">
      <alignment horizontal="left" vertical="center"/>
    </xf>
    <xf numFmtId="0" fontId="12" fillId="0" borderId="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64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3" fontId="7" fillId="6" borderId="1130" xfId="1" applyNumberFormat="1" applyFont="1" applyFill="1" applyBorder="1" applyAlignment="1">
      <alignment horizontal="center" vertical="center"/>
    </xf>
    <xf numFmtId="3" fontId="7" fillId="6" borderId="97" xfId="1" applyNumberFormat="1" applyFont="1" applyFill="1" applyBorder="1" applyAlignment="1">
      <alignment horizontal="center" vertical="center"/>
    </xf>
    <xf numFmtId="3" fontId="7" fillId="6" borderId="1147" xfId="1" applyNumberFormat="1" applyFont="1" applyFill="1" applyBorder="1" applyAlignment="1">
      <alignment horizontal="center" vertical="center"/>
    </xf>
    <xf numFmtId="3" fontId="7" fillId="6" borderId="1151" xfId="1" applyNumberFormat="1" applyFont="1" applyFill="1" applyBorder="1" applyAlignment="1">
      <alignment horizontal="center" vertical="center"/>
    </xf>
    <xf numFmtId="0" fontId="7" fillId="0" borderId="1131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12" fillId="0" borderId="17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3" fontId="12" fillId="0" borderId="15" xfId="1" applyNumberFormat="1" applyFont="1" applyBorder="1" applyAlignment="1">
      <alignment horizontal="center" vertical="center"/>
    </xf>
    <xf numFmtId="3" fontId="12" fillId="0" borderId="14" xfId="1" applyNumberFormat="1" applyFont="1" applyBorder="1" applyAlignment="1">
      <alignment horizontal="center" vertical="center"/>
    </xf>
    <xf numFmtId="3" fontId="12" fillId="0" borderId="17" xfId="1" applyNumberFormat="1" applyFont="1" applyBorder="1" applyAlignment="1">
      <alignment horizontal="center" vertical="center"/>
    </xf>
    <xf numFmtId="3" fontId="12" fillId="6" borderId="8" xfId="1" applyNumberFormat="1" applyFont="1" applyFill="1" applyBorder="1" applyAlignment="1">
      <alignment horizontal="right" vertical="center"/>
    </xf>
    <xf numFmtId="3" fontId="12" fillId="6" borderId="64" xfId="1" applyNumberFormat="1" applyFont="1" applyFill="1" applyBorder="1" applyAlignment="1">
      <alignment horizontal="right" vertical="center"/>
    </xf>
    <xf numFmtId="3" fontId="12" fillId="6" borderId="70" xfId="1" applyNumberFormat="1" applyFont="1" applyFill="1" applyBorder="1" applyAlignment="1">
      <alignment horizontal="right" vertical="center"/>
    </xf>
    <xf numFmtId="3" fontId="12" fillId="0" borderId="17" xfId="4" applyNumberFormat="1" applyFont="1" applyBorder="1" applyAlignment="1">
      <alignment horizontal="center" vertical="center"/>
    </xf>
    <xf numFmtId="3" fontId="12" fillId="0" borderId="15" xfId="4" applyNumberFormat="1" applyFont="1" applyBorder="1" applyAlignment="1">
      <alignment horizontal="center" vertical="center"/>
    </xf>
    <xf numFmtId="3" fontId="12" fillId="0" borderId="14" xfId="4" applyNumberFormat="1" applyFont="1" applyBorder="1" applyAlignment="1">
      <alignment horizontal="center" vertical="center"/>
    </xf>
    <xf numFmtId="0" fontId="25" fillId="3" borderId="43" xfId="1" applyFont="1" applyFill="1" applyBorder="1" applyAlignment="1">
      <alignment horizontal="center" vertical="center"/>
    </xf>
    <xf numFmtId="0" fontId="25" fillId="3" borderId="24" xfId="1" applyFont="1" applyFill="1" applyBorder="1" applyAlignment="1">
      <alignment horizontal="center" vertical="center"/>
    </xf>
    <xf numFmtId="0" fontId="25" fillId="3" borderId="13" xfId="1" applyFont="1" applyFill="1" applyBorder="1" applyAlignment="1">
      <alignment horizontal="center" vertical="center"/>
    </xf>
    <xf numFmtId="49" fontId="26" fillId="6" borderId="8" xfId="1" applyNumberFormat="1" applyFont="1" applyFill="1" applyBorder="1" applyAlignment="1">
      <alignment horizontal="center" vertical="center"/>
    </xf>
    <xf numFmtId="49" fontId="26" fillId="6" borderId="64" xfId="1" applyNumberFormat="1" applyFont="1" applyFill="1" applyBorder="1" applyAlignment="1">
      <alignment horizontal="center" vertical="center"/>
    </xf>
    <xf numFmtId="49" fontId="26" fillId="6" borderId="7" xfId="1" applyNumberFormat="1" applyFont="1" applyFill="1" applyBorder="1" applyAlignment="1">
      <alignment horizontal="center" vertical="center"/>
    </xf>
    <xf numFmtId="0" fontId="7" fillId="6" borderId="17" xfId="1" applyFont="1" applyFill="1" applyBorder="1" applyAlignment="1">
      <alignment horizontal="left" vertical="center" wrapText="1"/>
    </xf>
    <xf numFmtId="0" fontId="7" fillId="6" borderId="15" xfId="1" applyFont="1" applyFill="1" applyBorder="1" applyAlignment="1">
      <alignment horizontal="left" vertical="center" wrapText="1"/>
    </xf>
    <xf numFmtId="0" fontId="12" fillId="0" borderId="11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5" fillId="0" borderId="17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2" fillId="0" borderId="6" xfId="1" applyFont="1" applyFill="1" applyBorder="1" applyAlignment="1">
      <alignment horizontal="center" vertical="center"/>
    </xf>
    <xf numFmtId="0" fontId="26" fillId="6" borderId="48" xfId="1" applyFont="1" applyFill="1" applyBorder="1" applyAlignment="1">
      <alignment horizontal="center" vertical="center"/>
    </xf>
    <xf numFmtId="0" fontId="26" fillId="6" borderId="63" xfId="1" applyFont="1" applyFill="1" applyBorder="1" applyAlignment="1">
      <alignment horizontal="center" vertical="center"/>
    </xf>
    <xf numFmtId="0" fontId="26" fillId="6" borderId="71" xfId="1" applyFont="1" applyFill="1" applyBorder="1" applyAlignment="1">
      <alignment horizontal="center" vertical="center"/>
    </xf>
    <xf numFmtId="0" fontId="12" fillId="0" borderId="11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43" xfId="4" applyFont="1" applyBorder="1" applyAlignment="1">
      <alignment horizontal="center" vertical="center"/>
    </xf>
    <xf numFmtId="49" fontId="12" fillId="6" borderId="8" xfId="1" applyNumberFormat="1" applyFont="1" applyFill="1" applyBorder="1" applyAlignment="1">
      <alignment horizontal="center" vertical="center"/>
    </xf>
    <xf numFmtId="49" fontId="12" fillId="6" borderId="64" xfId="1" applyNumberFormat="1" applyFont="1" applyFill="1" applyBorder="1" applyAlignment="1">
      <alignment horizontal="center" vertical="center"/>
    </xf>
    <xf numFmtId="49" fontId="12" fillId="6" borderId="70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3" fontId="11" fillId="3" borderId="4" xfId="1" applyNumberFormat="1" applyFont="1" applyFill="1" applyBorder="1" applyAlignment="1">
      <alignment horizontal="center" vertical="center" wrapText="1"/>
    </xf>
    <xf numFmtId="0" fontId="7" fillId="0" borderId="17" xfId="1" applyFont="1" applyBorder="1" applyAlignment="1">
      <alignment horizontal="left" vertical="center" wrapText="1"/>
    </xf>
    <xf numFmtId="0" fontId="12" fillId="0" borderId="17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7" fillId="0" borderId="17" xfId="4" applyFont="1" applyBorder="1" applyAlignment="1">
      <alignment horizontal="left" vertical="center" wrapText="1"/>
    </xf>
    <xf numFmtId="0" fontId="7" fillId="0" borderId="15" xfId="4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14" xfId="4" applyFont="1" applyBorder="1" applyAlignment="1">
      <alignment horizontal="left" vertical="center" wrapText="1"/>
    </xf>
    <xf numFmtId="0" fontId="7" fillId="0" borderId="99" xfId="1" applyNumberFormat="1" applyFont="1" applyBorder="1" applyAlignment="1">
      <alignment horizontal="center" vertical="center"/>
    </xf>
    <xf numFmtId="0" fontId="7" fillId="0" borderId="81" xfId="1" applyNumberFormat="1" applyFont="1" applyBorder="1" applyAlignment="1">
      <alignment horizontal="center" vertical="center"/>
    </xf>
    <xf numFmtId="3" fontId="12" fillId="0" borderId="8" xfId="4" applyNumberFormat="1" applyFont="1" applyBorder="1" applyAlignment="1">
      <alignment horizontal="center" vertical="center"/>
    </xf>
    <xf numFmtId="3" fontId="12" fillId="0" borderId="7" xfId="4" applyNumberFormat="1" applyFont="1" applyBorder="1" applyAlignment="1">
      <alignment horizontal="center" vertical="center"/>
    </xf>
    <xf numFmtId="0" fontId="5" fillId="0" borderId="17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3" fontId="12" fillId="0" borderId="17" xfId="4" applyNumberFormat="1" applyFont="1" applyBorder="1" applyAlignment="1">
      <alignment horizontal="right" vertical="center"/>
    </xf>
    <xf numFmtId="3" fontId="12" fillId="0" borderId="14" xfId="4" applyNumberFormat="1" applyFont="1" applyBorder="1" applyAlignment="1">
      <alignment horizontal="right" vertical="center"/>
    </xf>
    <xf numFmtId="0" fontId="11" fillId="0" borderId="11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49" fontId="11" fillId="0" borderId="17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49" fontId="11" fillId="0" borderId="7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7" fillId="3" borderId="12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1" fillId="3" borderId="17" xfId="1" applyFont="1" applyFill="1" applyBorder="1" applyAlignment="1">
      <alignment horizontal="center" vertical="center"/>
    </xf>
    <xf numFmtId="0" fontId="11" fillId="3" borderId="14" xfId="1" applyFont="1" applyFill="1" applyBorder="1" applyAlignment="1">
      <alignment horizontal="center" vertical="center"/>
    </xf>
    <xf numFmtId="0" fontId="11" fillId="3" borderId="17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49" fontId="11" fillId="0" borderId="17" xfId="1" applyNumberFormat="1" applyFont="1" applyFill="1" applyBorder="1" applyAlignment="1">
      <alignment horizontal="center" vertical="center"/>
    </xf>
    <xf numFmtId="49" fontId="11" fillId="0" borderId="14" xfId="1" applyNumberFormat="1" applyFont="1" applyFill="1" applyBorder="1" applyAlignment="1">
      <alignment horizontal="center" vertical="center"/>
    </xf>
    <xf numFmtId="0" fontId="19" fillId="0" borderId="8" xfId="1" applyFont="1" applyBorder="1" applyAlignment="1">
      <alignment horizontal="left" vertical="center" wrapText="1"/>
    </xf>
    <xf numFmtId="0" fontId="19" fillId="0" borderId="7" xfId="1" applyFont="1" applyBorder="1" applyAlignment="1">
      <alignment horizontal="left" vertical="center" wrapText="1"/>
    </xf>
    <xf numFmtId="49" fontId="11" fillId="3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top"/>
    </xf>
    <xf numFmtId="0" fontId="15" fillId="0" borderId="0" xfId="1" applyFont="1" applyAlignment="1">
      <alignment horizontal="center" vertical="top"/>
    </xf>
    <xf numFmtId="49" fontId="16" fillId="4" borderId="4" xfId="1" applyNumberFormat="1" applyFont="1" applyFill="1" applyBorder="1" applyAlignment="1">
      <alignment horizontal="center" vertical="center"/>
    </xf>
    <xf numFmtId="49" fontId="16" fillId="4" borderId="9" xfId="1" applyNumberFormat="1" applyFont="1" applyFill="1" applyBorder="1" applyAlignment="1">
      <alignment horizontal="center" vertical="center"/>
    </xf>
    <xf numFmtId="0" fontId="11" fillId="5" borderId="26" xfId="1" applyFont="1" applyFill="1" applyBorder="1" applyAlignment="1">
      <alignment horizontal="center" vertical="center" wrapText="1"/>
    </xf>
    <xf numFmtId="0" fontId="11" fillId="5" borderId="73" xfId="1" applyFont="1" applyFill="1" applyBorder="1" applyAlignment="1">
      <alignment horizontal="center" vertical="center" wrapText="1"/>
    </xf>
    <xf numFmtId="49" fontId="19" fillId="0" borderId="58" xfId="1" applyNumberFormat="1" applyFont="1" applyBorder="1" applyAlignment="1">
      <alignment horizontal="center" vertical="center"/>
    </xf>
    <xf numFmtId="49" fontId="19" fillId="0" borderId="1" xfId="1" applyNumberFormat="1" applyFont="1" applyBorder="1" applyAlignment="1">
      <alignment horizontal="center" vertical="center"/>
    </xf>
    <xf numFmtId="49" fontId="19" fillId="0" borderId="77" xfId="1" applyNumberFormat="1" applyFont="1" applyBorder="1" applyAlignment="1">
      <alignment horizontal="center" vertical="center" wrapText="1"/>
    </xf>
    <xf numFmtId="49" fontId="19" fillId="0" borderId="37" xfId="1" applyNumberFormat="1" applyFont="1" applyBorder="1" applyAlignment="1">
      <alignment horizontal="center" vertical="center" wrapText="1"/>
    </xf>
    <xf numFmtId="49" fontId="11" fillId="4" borderId="26" xfId="1" applyNumberFormat="1" applyFont="1" applyFill="1" applyBorder="1" applyAlignment="1">
      <alignment horizontal="center" vertical="center" wrapText="1"/>
    </xf>
    <xf numFmtId="49" fontId="11" fillId="4" borderId="73" xfId="1" applyNumberFormat="1" applyFont="1" applyFill="1" applyBorder="1" applyAlignment="1">
      <alignment horizontal="center" vertical="center" wrapText="1"/>
    </xf>
    <xf numFmtId="49" fontId="11" fillId="0" borderId="15" xfId="1" applyNumberFormat="1" applyFont="1" applyBorder="1" applyAlignment="1">
      <alignment horizontal="center" vertical="center"/>
    </xf>
    <xf numFmtId="0" fontId="19" fillId="0" borderId="17" xfId="1" applyNumberFormat="1" applyFont="1" applyBorder="1" applyAlignment="1">
      <alignment horizontal="center" vertical="center"/>
    </xf>
    <xf numFmtId="0" fontId="19" fillId="0" borderId="15" xfId="1" applyNumberFormat="1" applyFont="1" applyBorder="1" applyAlignment="1">
      <alignment horizontal="center" vertical="center"/>
    </xf>
    <xf numFmtId="0" fontId="19" fillId="0" borderId="14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vertical="top" wrapText="1"/>
    </xf>
    <xf numFmtId="0" fontId="17" fillId="0" borderId="0" xfId="1" applyFont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3" xfId="1" applyFont="1" applyFill="1" applyBorder="1" applyAlignment="1">
      <alignment horizontal="center" vertical="center" wrapText="1"/>
    </xf>
    <xf numFmtId="0" fontId="20" fillId="2" borderId="17" xfId="1" applyFont="1" applyFill="1" applyBorder="1" applyAlignment="1">
      <alignment horizontal="center" vertical="center" wrapText="1"/>
    </xf>
    <xf numFmtId="0" fontId="20" fillId="2" borderId="15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49" fontId="11" fillId="0" borderId="1135" xfId="1" applyNumberFormat="1" applyFont="1" applyBorder="1" applyAlignment="1">
      <alignment horizontal="center" vertical="center"/>
    </xf>
    <xf numFmtId="49" fontId="11" fillId="0" borderId="1132" xfId="1" applyNumberFormat="1" applyFont="1" applyBorder="1" applyAlignment="1">
      <alignment horizontal="center" vertical="center"/>
    </xf>
    <xf numFmtId="0" fontId="11" fillId="4" borderId="1136" xfId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vertical="center"/>
    </xf>
    <xf numFmtId="49" fontId="11" fillId="2" borderId="9" xfId="1" applyNumberFormat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49" fontId="11" fillId="2" borderId="13" xfId="1" applyNumberFormat="1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 wrapText="1"/>
    </xf>
    <xf numFmtId="0" fontId="11" fillId="2" borderId="1094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4" borderId="85" xfId="1" applyFont="1" applyFill="1" applyBorder="1" applyAlignment="1">
      <alignment horizontal="center" vertical="center"/>
    </xf>
    <xf numFmtId="0" fontId="11" fillId="4" borderId="88" xfId="1" applyFont="1" applyFill="1" applyBorder="1" applyAlignment="1">
      <alignment horizontal="center" vertical="center"/>
    </xf>
    <xf numFmtId="0" fontId="11" fillId="4" borderId="84" xfId="1" applyFont="1" applyFill="1" applyBorder="1" applyAlignment="1">
      <alignment horizontal="center" vertical="center"/>
    </xf>
    <xf numFmtId="0" fontId="19" fillId="0" borderId="1134" xfId="1" applyFont="1" applyFill="1" applyBorder="1" applyAlignment="1">
      <alignment horizontal="center" vertical="center" wrapText="1"/>
    </xf>
    <xf numFmtId="0" fontId="11" fillId="0" borderId="1134" xfId="1" applyFont="1" applyFill="1" applyBorder="1" applyAlignment="1">
      <alignment horizontal="center" vertical="center" wrapText="1"/>
    </xf>
    <xf numFmtId="0" fontId="11" fillId="4" borderId="1120" xfId="1" applyFont="1" applyFill="1" applyBorder="1" applyAlignment="1">
      <alignment horizontal="center" vertical="center" wrapText="1"/>
    </xf>
    <xf numFmtId="0" fontId="11" fillId="4" borderId="1141" xfId="1" applyFont="1" applyFill="1" applyBorder="1" applyAlignment="1">
      <alignment horizontal="center" vertical="center" wrapText="1"/>
    </xf>
    <xf numFmtId="0" fontId="11" fillId="4" borderId="1145" xfId="1" applyFont="1" applyFill="1" applyBorder="1" applyAlignment="1">
      <alignment horizontal="center" vertical="center" wrapText="1"/>
    </xf>
    <xf numFmtId="49" fontId="19" fillId="0" borderId="1121" xfId="1" applyNumberFormat="1" applyFont="1" applyBorder="1" applyAlignment="1">
      <alignment horizontal="center" vertical="center"/>
    </xf>
    <xf numFmtId="49" fontId="19" fillId="0" borderId="1127" xfId="1" applyNumberFormat="1" applyFont="1" applyBorder="1" applyAlignment="1">
      <alignment horizontal="center" vertical="center"/>
    </xf>
    <xf numFmtId="0" fontId="19" fillId="0" borderId="692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49" fontId="16" fillId="2" borderId="26" xfId="1" applyNumberFormat="1" applyFont="1" applyFill="1" applyBorder="1" applyAlignment="1">
      <alignment horizontal="center" vertical="center"/>
    </xf>
    <xf numFmtId="49" fontId="16" fillId="2" borderId="82" xfId="1" applyNumberFormat="1" applyFont="1" applyFill="1" applyBorder="1" applyAlignment="1">
      <alignment horizontal="center" vertical="center"/>
    </xf>
    <xf numFmtId="49" fontId="16" fillId="2" borderId="83" xfId="1" applyNumberFormat="1" applyFont="1" applyFill="1" applyBorder="1" applyAlignment="1">
      <alignment horizontal="center" vertical="center"/>
    </xf>
    <xf numFmtId="3" fontId="16" fillId="2" borderId="9" xfId="1" applyNumberFormat="1" applyFont="1" applyFill="1" applyBorder="1" applyAlignment="1">
      <alignment horizontal="right" vertical="center"/>
    </xf>
    <xf numFmtId="3" fontId="16" fillId="2" borderId="12" xfId="1" applyNumberFormat="1" applyFont="1" applyFill="1" applyBorder="1" applyAlignment="1">
      <alignment horizontal="right" vertical="center"/>
    </xf>
    <xf numFmtId="0" fontId="16" fillId="0" borderId="1139" xfId="1" applyFont="1" applyBorder="1" applyAlignment="1">
      <alignment horizontal="center" vertical="center" wrapText="1"/>
    </xf>
    <xf numFmtId="0" fontId="16" fillId="0" borderId="78" xfId="1" applyFont="1" applyBorder="1" applyAlignment="1">
      <alignment horizontal="center" vertical="center" wrapText="1"/>
    </xf>
    <xf numFmtId="0" fontId="16" fillId="0" borderId="779" xfId="1" applyFont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/>
    </xf>
    <xf numFmtId="0" fontId="11" fillId="2" borderId="1094" xfId="1" applyFont="1" applyFill="1" applyBorder="1" applyAlignment="1">
      <alignment horizontal="center" vertical="center"/>
    </xf>
    <xf numFmtId="0" fontId="11" fillId="2" borderId="43" xfId="1" applyFont="1" applyFill="1" applyBorder="1" applyAlignment="1">
      <alignment horizontal="center" vertical="center"/>
    </xf>
    <xf numFmtId="0" fontId="11" fillId="2" borderId="48" xfId="1" applyFont="1" applyFill="1" applyBorder="1" applyAlignment="1">
      <alignment horizontal="center" vertical="center" wrapText="1"/>
    </xf>
    <xf numFmtId="0" fontId="11" fillId="2" borderId="1039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85" xfId="1" applyFont="1" applyFill="1" applyBorder="1" applyAlignment="1">
      <alignment horizontal="center" vertical="center"/>
    </xf>
    <xf numFmtId="0" fontId="11" fillId="2" borderId="88" xfId="1" applyFont="1" applyFill="1" applyBorder="1" applyAlignment="1">
      <alignment horizontal="center" vertical="center"/>
    </xf>
    <xf numFmtId="0" fontId="11" fillId="2" borderId="1144" xfId="1" applyFont="1" applyFill="1" applyBorder="1" applyAlignment="1">
      <alignment horizontal="center" vertical="center"/>
    </xf>
    <xf numFmtId="49" fontId="11" fillId="0" borderId="547" xfId="1" applyNumberFormat="1" applyFont="1" applyBorder="1" applyAlignment="1">
      <alignment horizontal="center" vertical="center" wrapText="1"/>
    </xf>
    <xf numFmtId="49" fontId="11" fillId="0" borderId="1117" xfId="1" applyNumberFormat="1" applyFont="1" applyBorder="1" applyAlignment="1">
      <alignment horizontal="center" vertical="center" wrapText="1"/>
    </xf>
    <xf numFmtId="49" fontId="11" fillId="0" borderId="1143" xfId="1" applyNumberFormat="1" applyFont="1" applyBorder="1" applyAlignment="1">
      <alignment horizontal="center" vertical="center" wrapText="1"/>
    </xf>
    <xf numFmtId="49" fontId="11" fillId="0" borderId="1039" xfId="1" applyNumberFormat="1" applyFont="1" applyBorder="1" applyAlignment="1">
      <alignment horizontal="center" vertical="center" wrapText="1"/>
    </xf>
    <xf numFmtId="0" fontId="11" fillId="4" borderId="104" xfId="1" applyFont="1" applyFill="1" applyBorder="1" applyAlignment="1">
      <alignment horizontal="center" vertical="center"/>
    </xf>
    <xf numFmtId="0" fontId="11" fillId="4" borderId="1141" xfId="1" applyFont="1" applyFill="1" applyBorder="1" applyAlignment="1">
      <alignment horizontal="center" vertical="center"/>
    </xf>
    <xf numFmtId="0" fontId="11" fillId="4" borderId="1095" xfId="1" applyFont="1" applyFill="1" applyBorder="1" applyAlignment="1">
      <alignment horizontal="center" vertical="center"/>
    </xf>
    <xf numFmtId="3" fontId="11" fillId="4" borderId="547" xfId="1" applyNumberFormat="1" applyFont="1" applyFill="1" applyBorder="1" applyAlignment="1">
      <alignment horizontal="right" vertical="center"/>
    </xf>
    <xf numFmtId="3" fontId="11" fillId="4" borderId="1075" xfId="1" applyNumberFormat="1" applyFont="1" applyFill="1" applyBorder="1" applyAlignment="1">
      <alignment horizontal="right" vertical="center"/>
    </xf>
    <xf numFmtId="49" fontId="19" fillId="0" borderId="1142" xfId="1" applyNumberFormat="1" applyFont="1" applyBorder="1" applyAlignment="1">
      <alignment horizontal="center" vertical="center" wrapText="1"/>
    </xf>
    <xf numFmtId="49" fontId="19" fillId="0" borderId="1132" xfId="1" applyNumberFormat="1" applyFont="1" applyBorder="1" applyAlignment="1">
      <alignment horizontal="center" vertical="center" wrapText="1"/>
    </xf>
    <xf numFmtId="2" fontId="19" fillId="0" borderId="1129" xfId="1" applyNumberFormat="1" applyFont="1" applyBorder="1" applyAlignment="1">
      <alignment horizontal="center" vertical="center"/>
    </xf>
    <xf numFmtId="2" fontId="19" fillId="0" borderId="1098" xfId="1" applyNumberFormat="1" applyFont="1" applyBorder="1" applyAlignment="1">
      <alignment horizontal="center" vertical="center"/>
    </xf>
    <xf numFmtId="3" fontId="19" fillId="0" borderId="1143" xfId="1" applyNumberFormat="1" applyFont="1" applyBorder="1" applyAlignment="1">
      <alignment horizontal="right" vertical="center"/>
    </xf>
    <xf numFmtId="3" fontId="19" fillId="0" borderId="1064" xfId="1" applyNumberFormat="1" applyFont="1" applyBorder="1" applyAlignment="1">
      <alignment horizontal="right" vertical="center"/>
    </xf>
    <xf numFmtId="0" fontId="63" fillId="4" borderId="1129" xfId="1" applyFont="1" applyFill="1" applyBorder="1" applyAlignment="1">
      <alignment horizontal="center" vertical="center"/>
    </xf>
    <xf numFmtId="0" fontId="63" fillId="4" borderId="1098" xfId="1" applyFont="1" applyFill="1" applyBorder="1" applyAlignment="1">
      <alignment horizontal="center" vertical="center"/>
    </xf>
    <xf numFmtId="3" fontId="64" fillId="4" borderId="1143" xfId="1" applyNumberFormat="1" applyFont="1" applyFill="1" applyBorder="1" applyAlignment="1">
      <alignment horizontal="right" vertical="center" wrapText="1"/>
    </xf>
    <xf numFmtId="3" fontId="64" fillId="4" borderId="1064" xfId="1" applyNumberFormat="1" applyFont="1" applyFill="1" applyBorder="1" applyAlignment="1">
      <alignment horizontal="right" vertical="center" wrapText="1"/>
    </xf>
    <xf numFmtId="0" fontId="63" fillId="4" borderId="1134" xfId="1" applyFont="1" applyFill="1" applyBorder="1" applyAlignment="1">
      <alignment horizontal="center" vertical="center"/>
    </xf>
    <xf numFmtId="0" fontId="63" fillId="4" borderId="1138" xfId="1" applyFont="1" applyFill="1" applyBorder="1" applyAlignment="1">
      <alignment horizontal="center" vertical="center"/>
    </xf>
    <xf numFmtId="3" fontId="19" fillId="4" borderId="1039" xfId="1" applyNumberFormat="1" applyFont="1" applyFill="1" applyBorder="1" applyAlignment="1">
      <alignment horizontal="right" vertical="center"/>
    </xf>
    <xf numFmtId="3" fontId="19" fillId="4" borderId="1094" xfId="1" applyNumberFormat="1" applyFont="1" applyFill="1" applyBorder="1" applyAlignment="1">
      <alignment horizontal="right" vertical="center"/>
    </xf>
    <xf numFmtId="0" fontId="11" fillId="0" borderId="11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43" xfId="1" applyFont="1" applyFill="1" applyBorder="1" applyAlignment="1">
      <alignment horizontal="center" vertical="center" wrapText="1"/>
    </xf>
    <xf numFmtId="0" fontId="11" fillId="4" borderId="80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3" fontId="11" fillId="4" borderId="48" xfId="1" applyNumberFormat="1" applyFont="1" applyFill="1" applyBorder="1" applyAlignment="1">
      <alignment horizontal="right" vertical="center"/>
    </xf>
    <xf numFmtId="3" fontId="11" fillId="4" borderId="41" xfId="1" applyNumberFormat="1" applyFont="1" applyFill="1" applyBorder="1" applyAlignment="1">
      <alignment horizontal="right" vertical="center"/>
    </xf>
    <xf numFmtId="0" fontId="19" fillId="0" borderId="1140" xfId="1" applyFont="1" applyFill="1" applyBorder="1" applyAlignment="1">
      <alignment horizontal="center" vertical="center" wrapText="1"/>
    </xf>
    <xf numFmtId="0" fontId="19" fillId="0" borderId="81" xfId="1" applyFont="1" applyFill="1" applyBorder="1" applyAlignment="1">
      <alignment horizontal="center" vertical="center" wrapText="1"/>
    </xf>
    <xf numFmtId="0" fontId="19" fillId="0" borderId="1129" xfId="1" applyFont="1" applyFill="1" applyBorder="1" applyAlignment="1">
      <alignment horizontal="center" vertical="center" wrapText="1"/>
    </xf>
    <xf numFmtId="0" fontId="19" fillId="0" borderId="1106" xfId="1" applyFont="1" applyFill="1" applyBorder="1" applyAlignment="1">
      <alignment horizontal="center" vertical="center" wrapText="1"/>
    </xf>
    <xf numFmtId="3" fontId="19" fillId="0" borderId="1117" xfId="1" applyNumberFormat="1" applyFont="1" applyBorder="1" applyAlignment="1">
      <alignment horizontal="right" vertical="center"/>
    </xf>
    <xf numFmtId="0" fontId="11" fillId="4" borderId="1134" xfId="1" applyFont="1" applyFill="1" applyBorder="1" applyAlignment="1">
      <alignment horizontal="center" vertical="center"/>
    </xf>
    <xf numFmtId="0" fontId="11" fillId="4" borderId="1138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6" fillId="0" borderId="1139" xfId="1" applyFont="1" applyFill="1" applyBorder="1" applyAlignment="1">
      <alignment horizontal="center" vertical="center" wrapText="1"/>
    </xf>
    <xf numFmtId="0" fontId="16" fillId="0" borderId="78" xfId="1" applyFont="1" applyFill="1" applyBorder="1" applyAlignment="1">
      <alignment horizontal="center" vertical="center" wrapText="1"/>
    </xf>
    <xf numFmtId="0" fontId="16" fillId="0" borderId="779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/>
    </xf>
    <xf numFmtId="0" fontId="11" fillId="2" borderId="82" xfId="1" applyFont="1" applyFill="1" applyBorder="1" applyAlignment="1">
      <alignment horizontal="center" vertical="center"/>
    </xf>
    <xf numFmtId="0" fontId="11" fillId="2" borderId="771" xfId="1" applyFont="1" applyFill="1" applyBorder="1" applyAlignment="1">
      <alignment horizontal="center" vertical="center"/>
    </xf>
    <xf numFmtId="0" fontId="12" fillId="4" borderId="1144" xfId="1" applyFont="1" applyFill="1" applyBorder="1" applyAlignment="1">
      <alignment horizontal="center" vertical="center" wrapText="1"/>
    </xf>
    <xf numFmtId="0" fontId="12" fillId="4" borderId="1098" xfId="1" applyFont="1" applyFill="1" applyBorder="1" applyAlignment="1">
      <alignment horizontal="center" vertical="center" wrapText="1"/>
    </xf>
    <xf numFmtId="49" fontId="12" fillId="4" borderId="1132" xfId="1" applyNumberFormat="1" applyFont="1" applyFill="1" applyBorder="1" applyAlignment="1">
      <alignment horizontal="center" vertical="center"/>
    </xf>
    <xf numFmtId="49" fontId="12" fillId="4" borderId="1134" xfId="1" applyNumberFormat="1" applyFont="1" applyFill="1" applyBorder="1" applyAlignment="1">
      <alignment horizontal="center" vertical="center"/>
    </xf>
    <xf numFmtId="0" fontId="7" fillId="0" borderId="1140" xfId="1" applyFont="1" applyBorder="1" applyAlignment="1">
      <alignment horizontal="center" vertical="center"/>
    </xf>
    <xf numFmtId="0" fontId="7" fillId="0" borderId="104" xfId="1" applyFont="1" applyBorder="1" applyAlignment="1">
      <alignment horizontal="center" vertical="center"/>
    </xf>
    <xf numFmtId="0" fontId="7" fillId="0" borderId="1130" xfId="1" applyFont="1" applyBorder="1" applyAlignment="1">
      <alignment horizontal="center" vertical="center"/>
    </xf>
    <xf numFmtId="0" fontId="7" fillId="0" borderId="1141" xfId="1" applyFont="1" applyBorder="1" applyAlignment="1">
      <alignment horizontal="center" vertical="center"/>
    </xf>
    <xf numFmtId="3" fontId="7" fillId="0" borderId="1147" xfId="1" applyNumberFormat="1" applyFont="1" applyBorder="1" applyAlignment="1">
      <alignment horizontal="left" vertical="center" wrapText="1"/>
    </xf>
    <xf numFmtId="3" fontId="7" fillId="0" borderId="1095" xfId="1" applyNumberFormat="1" applyFont="1" applyBorder="1" applyAlignment="1">
      <alignment horizontal="left" vertical="center" wrapText="1"/>
    </xf>
    <xf numFmtId="0" fontId="67" fillId="0" borderId="0" xfId="1" applyFont="1" applyBorder="1" applyAlignment="1">
      <alignment horizontal="left" vertical="center" wrapText="1"/>
    </xf>
    <xf numFmtId="0" fontId="12" fillId="4" borderId="87" xfId="1" applyFont="1" applyFill="1" applyBorder="1" applyAlignment="1">
      <alignment horizontal="center" vertical="center"/>
    </xf>
    <xf numFmtId="0" fontId="12" fillId="4" borderId="1142" xfId="1" applyFont="1" applyFill="1" applyBorder="1" applyAlignment="1">
      <alignment horizontal="center" vertical="center"/>
    </xf>
    <xf numFmtId="0" fontId="12" fillId="4" borderId="88" xfId="1" applyFont="1" applyFill="1" applyBorder="1" applyAlignment="1">
      <alignment horizontal="center" vertical="center"/>
    </xf>
    <xf numFmtId="0" fontId="12" fillId="4" borderId="1129" xfId="1" applyFont="1" applyFill="1" applyBorder="1" applyAlignment="1">
      <alignment horizontal="center" vertical="center"/>
    </xf>
    <xf numFmtId="0" fontId="12" fillId="4" borderId="88" xfId="1" applyFont="1" applyFill="1" applyBorder="1" applyAlignment="1">
      <alignment horizontal="center" vertical="center" wrapText="1"/>
    </xf>
    <xf numFmtId="0" fontId="12" fillId="4" borderId="1129" xfId="1" applyFont="1" applyFill="1" applyBorder="1" applyAlignment="1">
      <alignment horizontal="center" vertical="center" wrapText="1"/>
    </xf>
    <xf numFmtId="0" fontId="68" fillId="0" borderId="0" xfId="1" applyFont="1" applyAlignment="1">
      <alignment horizontal="center" vertical="center"/>
    </xf>
    <xf numFmtId="49" fontId="12" fillId="4" borderId="1039" xfId="1" applyNumberFormat="1" applyFont="1" applyFill="1" applyBorder="1" applyAlignment="1">
      <alignment horizontal="center" vertical="center"/>
    </xf>
    <xf numFmtId="49" fontId="12" fillId="4" borderId="1124" xfId="1" applyNumberFormat="1" applyFont="1" applyFill="1" applyBorder="1" applyAlignment="1">
      <alignment horizontal="center" vertical="center"/>
    </xf>
    <xf numFmtId="49" fontId="12" fillId="4" borderId="1125" xfId="1" applyNumberFormat="1" applyFont="1" applyFill="1" applyBorder="1" applyAlignment="1">
      <alignment horizontal="center" vertical="center"/>
    </xf>
    <xf numFmtId="0" fontId="7" fillId="0" borderId="103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3" fontId="7" fillId="0" borderId="1149" xfId="1" applyNumberFormat="1" applyFont="1" applyBorder="1" applyAlignment="1">
      <alignment horizontal="left" vertical="center" wrapText="1"/>
    </xf>
    <xf numFmtId="0" fontId="12" fillId="4" borderId="779" xfId="1" applyFont="1" applyFill="1" applyBorder="1" applyAlignment="1">
      <alignment horizontal="center" vertical="center" wrapText="1"/>
    </xf>
    <xf numFmtId="0" fontId="12" fillId="4" borderId="1095" xfId="1" applyFont="1" applyFill="1" applyBorder="1" applyAlignment="1">
      <alignment horizontal="center" vertical="center" wrapText="1"/>
    </xf>
    <xf numFmtId="0" fontId="7" fillId="0" borderId="1147" xfId="1" applyFont="1" applyFill="1" applyBorder="1" applyAlignment="1">
      <alignment horizontal="left" vertical="center" wrapText="1"/>
    </xf>
    <xf numFmtId="0" fontId="7" fillId="0" borderId="1095" xfId="1" applyFont="1" applyFill="1" applyBorder="1" applyAlignment="1">
      <alignment horizontal="left" vertical="center" wrapText="1"/>
    </xf>
    <xf numFmtId="49" fontId="73" fillId="0" borderId="0" xfId="1" applyNumberFormat="1" applyFont="1" applyBorder="1" applyAlignment="1">
      <alignment horizontal="center" vertical="center"/>
    </xf>
    <xf numFmtId="0" fontId="12" fillId="4" borderId="1139" xfId="1" applyFont="1" applyFill="1" applyBorder="1" applyAlignment="1">
      <alignment horizontal="center" vertical="center"/>
    </xf>
    <xf numFmtId="0" fontId="12" fillId="4" borderId="104" xfId="1" applyFont="1" applyFill="1" applyBorder="1" applyAlignment="1">
      <alignment horizontal="center" vertical="center"/>
    </xf>
    <xf numFmtId="0" fontId="12" fillId="4" borderId="78" xfId="1" applyFont="1" applyFill="1" applyBorder="1" applyAlignment="1">
      <alignment horizontal="center" vertical="center"/>
    </xf>
    <xf numFmtId="0" fontId="12" fillId="4" borderId="1141" xfId="1" applyFont="1" applyFill="1" applyBorder="1" applyAlignment="1">
      <alignment horizontal="center" vertical="center"/>
    </xf>
    <xf numFmtId="0" fontId="7" fillId="0" borderId="1149" xfId="1" applyFont="1" applyFill="1" applyBorder="1" applyAlignment="1">
      <alignment horizontal="left" vertical="center" wrapText="1"/>
    </xf>
    <xf numFmtId="0" fontId="7" fillId="0" borderId="103" xfId="1" applyFont="1" applyFill="1" applyBorder="1" applyAlignment="1">
      <alignment horizontal="center" vertical="center"/>
    </xf>
    <xf numFmtId="0" fontId="7" fillId="0" borderId="104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0" fontId="7" fillId="0" borderId="1141" xfId="1" applyFont="1" applyFill="1" applyBorder="1" applyAlignment="1">
      <alignment horizontal="center" vertical="center"/>
    </xf>
    <xf numFmtId="49" fontId="12" fillId="4" borderId="9" xfId="1" applyNumberFormat="1" applyFont="1" applyFill="1" applyBorder="1" applyAlignment="1">
      <alignment horizontal="center" vertical="center"/>
    </xf>
    <xf numFmtId="49" fontId="12" fillId="4" borderId="13" xfId="1" applyNumberFormat="1" applyFont="1" applyFill="1" applyBorder="1" applyAlignment="1">
      <alignment horizontal="center" vertical="center"/>
    </xf>
    <xf numFmtId="49" fontId="12" fillId="4" borderId="21" xfId="1" applyNumberFormat="1" applyFont="1" applyFill="1" applyBorder="1" applyAlignment="1">
      <alignment horizontal="center" vertical="center"/>
    </xf>
    <xf numFmtId="49" fontId="12" fillId="0" borderId="1142" xfId="1" applyNumberFormat="1" applyFont="1" applyBorder="1" applyAlignment="1">
      <alignment horizontal="center" vertical="top"/>
    </xf>
    <xf numFmtId="0" fontId="12" fillId="17" borderId="962" xfId="1" applyFont="1" applyFill="1" applyBorder="1" applyAlignment="1">
      <alignment horizontal="center" vertical="center" wrapText="1"/>
    </xf>
    <xf numFmtId="0" fontId="12" fillId="17" borderId="1150" xfId="1" applyFont="1" applyFill="1" applyBorder="1" applyAlignment="1">
      <alignment horizontal="center" vertical="center" wrapText="1"/>
    </xf>
    <xf numFmtId="0" fontId="12" fillId="17" borderId="1121" xfId="1" applyFont="1" applyFill="1" applyBorder="1" applyAlignment="1">
      <alignment horizontal="center" vertical="center" wrapText="1"/>
    </xf>
    <xf numFmtId="49" fontId="7" fillId="0" borderId="1129" xfId="1" applyNumberFormat="1" applyFont="1" applyBorder="1" applyAlignment="1">
      <alignment horizontal="center" vertical="center"/>
    </xf>
    <xf numFmtId="0" fontId="8" fillId="0" borderId="1129" xfId="1" applyFont="1" applyFill="1" applyBorder="1" applyAlignment="1">
      <alignment horizontal="center" vertical="center"/>
    </xf>
    <xf numFmtId="49" fontId="12" fillId="0" borderId="1132" xfId="1" applyNumberFormat="1" applyFont="1" applyBorder="1" applyAlignment="1">
      <alignment horizontal="center" vertical="top"/>
    </xf>
    <xf numFmtId="0" fontId="12" fillId="17" borderId="962" xfId="1" applyFont="1" applyFill="1" applyBorder="1" applyAlignment="1">
      <alignment horizontal="center" vertical="center"/>
    </xf>
    <xf numFmtId="0" fontId="12" fillId="17" borderId="1150" xfId="1" applyFont="1" applyFill="1" applyBorder="1" applyAlignment="1">
      <alignment horizontal="center" vertical="center"/>
    </xf>
    <xf numFmtId="0" fontId="12" fillId="17" borderId="1121" xfId="1" applyFont="1" applyFill="1" applyBorder="1" applyAlignment="1">
      <alignment horizontal="center" vertical="center"/>
    </xf>
    <xf numFmtId="49" fontId="7" fillId="0" borderId="1134" xfId="1" applyNumberFormat="1" applyFont="1" applyBorder="1" applyAlignment="1">
      <alignment horizontal="center" vertical="center"/>
    </xf>
    <xf numFmtId="0" fontId="8" fillId="0" borderId="1129" xfId="1" applyFont="1" applyBorder="1" applyAlignment="1">
      <alignment horizontal="center" vertical="center"/>
    </xf>
    <xf numFmtId="0" fontId="8" fillId="0" borderId="1129" xfId="1" applyFont="1" applyBorder="1" applyAlignment="1">
      <alignment horizontal="center" vertical="center" wrapText="1"/>
    </xf>
    <xf numFmtId="49" fontId="12" fillId="0" borderId="1140" xfId="1" applyNumberFormat="1" applyFont="1" applyBorder="1" applyAlignment="1">
      <alignment horizontal="center" vertical="top"/>
    </xf>
    <xf numFmtId="49" fontId="12" fillId="0" borderId="103" xfId="1" applyNumberFormat="1" applyFont="1" applyBorder="1" applyAlignment="1">
      <alignment horizontal="center" vertical="top"/>
    </xf>
    <xf numFmtId="49" fontId="12" fillId="0" borderId="104" xfId="1" applyNumberFormat="1" applyFont="1" applyBorder="1" applyAlignment="1">
      <alignment horizontal="center" vertical="top"/>
    </xf>
    <xf numFmtId="0" fontId="1" fillId="0" borderId="0" xfId="13" applyAlignment="1">
      <alignment horizontal="right"/>
    </xf>
    <xf numFmtId="0" fontId="12" fillId="0" borderId="1" xfId="1" applyFont="1" applyBorder="1" applyAlignment="1">
      <alignment horizontal="center" vertical="center" wrapText="1"/>
    </xf>
    <xf numFmtId="0" fontId="12" fillId="0" borderId="59" xfId="1" applyFont="1" applyBorder="1" applyAlignment="1">
      <alignment horizontal="center" vertical="center" wrapText="1"/>
    </xf>
    <xf numFmtId="0" fontId="12" fillId="0" borderId="37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right" vertical="center" wrapText="1"/>
    </xf>
    <xf numFmtId="49" fontId="12" fillId="0" borderId="1139" xfId="1" applyNumberFormat="1" applyFont="1" applyBorder="1" applyAlignment="1">
      <alignment horizontal="center" vertical="top"/>
    </xf>
    <xf numFmtId="0" fontId="12" fillId="17" borderId="84" xfId="1" applyFont="1" applyFill="1" applyBorder="1" applyAlignment="1">
      <alignment horizontal="center" vertical="center"/>
    </xf>
    <xf numFmtId="0" fontId="12" fillId="17" borderId="47" xfId="1" applyFont="1" applyFill="1" applyBorder="1" applyAlignment="1">
      <alignment horizontal="center" vertical="center"/>
    </xf>
    <xf numFmtId="0" fontId="12" fillId="17" borderId="85" xfId="1" applyFont="1" applyFill="1" applyBorder="1" applyAlignment="1">
      <alignment horizontal="center" vertical="center"/>
    </xf>
    <xf numFmtId="0" fontId="12" fillId="0" borderId="1130" xfId="1" applyFont="1" applyFill="1" applyBorder="1" applyAlignment="1">
      <alignment horizontal="center" vertical="center" wrapText="1"/>
    </xf>
    <xf numFmtId="0" fontId="12" fillId="0" borderId="59" xfId="1" applyFont="1" applyFill="1" applyBorder="1" applyAlignment="1">
      <alignment horizontal="center" vertical="center" wrapText="1"/>
    </xf>
    <xf numFmtId="0" fontId="12" fillId="0" borderId="97" xfId="1" applyFont="1" applyFill="1" applyBorder="1" applyAlignment="1">
      <alignment horizontal="center" vertical="center" wrapText="1"/>
    </xf>
    <xf numFmtId="49" fontId="12" fillId="4" borderId="26" xfId="1" applyNumberFormat="1" applyFont="1" applyFill="1" applyBorder="1" applyAlignment="1">
      <alignment horizontal="center" vertical="center"/>
    </xf>
    <xf numFmtId="49" fontId="12" fillId="4" borderId="82" xfId="1" applyNumberFormat="1" applyFont="1" applyFill="1" applyBorder="1" applyAlignment="1">
      <alignment horizontal="center" vertical="center"/>
    </xf>
    <xf numFmtId="49" fontId="12" fillId="0" borderId="1130" xfId="1" applyNumberFormat="1" applyFont="1" applyFill="1" applyBorder="1" applyAlignment="1">
      <alignment horizontal="center" vertical="center"/>
    </xf>
    <xf numFmtId="49" fontId="12" fillId="0" borderId="59" xfId="1" applyNumberFormat="1" applyFont="1" applyFill="1" applyBorder="1" applyAlignment="1">
      <alignment horizontal="center" vertical="center"/>
    </xf>
    <xf numFmtId="49" fontId="12" fillId="0" borderId="1141" xfId="1" applyNumberFormat="1" applyFont="1" applyFill="1" applyBorder="1" applyAlignment="1">
      <alignment horizontal="center" vertical="center"/>
    </xf>
    <xf numFmtId="0" fontId="12" fillId="0" borderId="1141" xfId="1" applyFont="1" applyFill="1" applyBorder="1" applyAlignment="1">
      <alignment horizontal="center" vertical="center" wrapText="1"/>
    </xf>
    <xf numFmtId="3" fontId="76" fillId="0" borderId="0" xfId="1" applyNumberFormat="1" applyFont="1" applyAlignment="1">
      <alignment horizontal="center" vertical="center" wrapText="1"/>
    </xf>
    <xf numFmtId="0" fontId="76" fillId="0" borderId="0" xfId="1" applyFont="1" applyAlignment="1">
      <alignment horizontal="center" vertical="center" wrapText="1"/>
    </xf>
    <xf numFmtId="0" fontId="12" fillId="18" borderId="1129" xfId="1" applyFont="1" applyFill="1" applyBorder="1" applyAlignment="1">
      <alignment horizontal="center" vertical="center"/>
    </xf>
    <xf numFmtId="0" fontId="12" fillId="18" borderId="1129" xfId="1" applyFont="1" applyFill="1" applyBorder="1" applyAlignment="1">
      <alignment horizontal="center" vertical="center" wrapText="1"/>
    </xf>
    <xf numFmtId="0" fontId="12" fillId="0" borderId="1130" xfId="1" applyFont="1" applyFill="1" applyBorder="1" applyAlignment="1">
      <alignment horizontal="center" vertical="center"/>
    </xf>
    <xf numFmtId="0" fontId="12" fillId="0" borderId="59" xfId="1" applyFont="1" applyFill="1" applyBorder="1" applyAlignment="1">
      <alignment horizontal="center" vertical="center"/>
    </xf>
    <xf numFmtId="49" fontId="12" fillId="0" borderId="81" xfId="1" applyNumberFormat="1" applyFont="1" applyBorder="1" applyAlignment="1">
      <alignment horizontal="center" vertical="top"/>
    </xf>
    <xf numFmtId="49" fontId="12" fillId="18" borderId="1129" xfId="1" applyNumberFormat="1" applyFont="1" applyFill="1" applyBorder="1" applyAlignment="1">
      <alignment horizontal="center" vertical="center"/>
    </xf>
    <xf numFmtId="49" fontId="12" fillId="0" borderId="97" xfId="1" applyNumberFormat="1" applyFont="1" applyFill="1" applyBorder="1" applyAlignment="1">
      <alignment horizontal="center" vertical="center"/>
    </xf>
    <xf numFmtId="0" fontId="12" fillId="18" borderId="1141" xfId="1" applyFont="1" applyFill="1" applyBorder="1" applyAlignment="1">
      <alignment horizontal="center" vertical="center"/>
    </xf>
    <xf numFmtId="0" fontId="12" fillId="4" borderId="1132" xfId="1" applyFont="1" applyFill="1" applyBorder="1" applyAlignment="1">
      <alignment horizontal="center" vertical="center"/>
    </xf>
    <xf numFmtId="0" fontId="12" fillId="4" borderId="1134" xfId="1" applyFont="1" applyFill="1" applyBorder="1" applyAlignment="1">
      <alignment horizontal="center" vertical="center"/>
    </xf>
    <xf numFmtId="0" fontId="12" fillId="4" borderId="59" xfId="1" applyFont="1" applyFill="1" applyBorder="1" applyAlignment="1">
      <alignment horizontal="center" vertical="center"/>
    </xf>
    <xf numFmtId="0" fontId="12" fillId="4" borderId="97" xfId="1" applyFont="1" applyFill="1" applyBorder="1" applyAlignment="1">
      <alignment horizontal="center" vertical="center"/>
    </xf>
    <xf numFmtId="0" fontId="12" fillId="4" borderId="1134" xfId="1" applyFont="1" applyFill="1" applyBorder="1" applyAlignment="1">
      <alignment horizontal="center" vertical="center" wrapText="1"/>
    </xf>
    <xf numFmtId="0" fontId="12" fillId="4" borderId="84" xfId="1" applyFont="1" applyFill="1" applyBorder="1" applyAlignment="1">
      <alignment horizontal="center" vertical="center" wrapText="1"/>
    </xf>
    <xf numFmtId="0" fontId="12" fillId="4" borderId="47" xfId="1" applyFont="1" applyFill="1" applyBorder="1" applyAlignment="1">
      <alignment horizontal="center" vertical="center" wrapText="1"/>
    </xf>
    <xf numFmtId="0" fontId="12" fillId="4" borderId="85" xfId="1" applyFont="1" applyFill="1" applyBorder="1" applyAlignment="1">
      <alignment horizontal="center" vertical="center" wrapText="1"/>
    </xf>
    <xf numFmtId="0" fontId="12" fillId="4" borderId="1138" xfId="1" applyFont="1" applyFill="1" applyBorder="1" applyAlignment="1">
      <alignment horizontal="center" vertical="center" wrapText="1"/>
    </xf>
    <xf numFmtId="0" fontId="12" fillId="4" borderId="1130" xfId="1" applyFont="1" applyFill="1" applyBorder="1" applyAlignment="1">
      <alignment horizontal="center" vertical="center" wrapText="1"/>
    </xf>
    <xf numFmtId="0" fontId="12" fillId="4" borderId="97" xfId="1" applyFont="1" applyFill="1" applyBorder="1" applyAlignment="1">
      <alignment horizontal="center" vertical="center" wrapText="1"/>
    </xf>
    <xf numFmtId="49" fontId="12" fillId="3" borderId="26" xfId="1" applyNumberFormat="1" applyFont="1" applyFill="1" applyBorder="1" applyAlignment="1">
      <alignment horizontal="center" vertical="center"/>
    </xf>
    <xf numFmtId="49" fontId="12" fillId="3" borderId="97" xfId="1" applyNumberFormat="1" applyFont="1" applyFill="1" applyBorder="1" applyAlignment="1">
      <alignment horizontal="center" vertical="center"/>
    </xf>
    <xf numFmtId="49" fontId="12" fillId="3" borderId="82" xfId="1" applyNumberFormat="1" applyFont="1" applyFill="1" applyBorder="1" applyAlignment="1">
      <alignment horizontal="center" vertical="center"/>
    </xf>
    <xf numFmtId="49" fontId="12" fillId="3" borderId="83" xfId="1" applyNumberFormat="1" applyFont="1" applyFill="1" applyBorder="1" applyAlignment="1">
      <alignment horizontal="center" vertical="center"/>
    </xf>
    <xf numFmtId="0" fontId="66" fillId="0" borderId="0" xfId="1" applyFont="1" applyAlignment="1">
      <alignment horizontal="center" vertical="center" wrapText="1"/>
    </xf>
    <xf numFmtId="49" fontId="12" fillId="0" borderId="17" xfId="1" applyNumberFormat="1" applyFont="1" applyBorder="1" applyAlignment="1">
      <alignment horizontal="center" vertical="center" wrapText="1"/>
    </xf>
    <xf numFmtId="49" fontId="12" fillId="0" borderId="15" xfId="1" applyNumberFormat="1" applyFont="1" applyBorder="1" applyAlignment="1">
      <alignment horizontal="center" vertical="center" wrapText="1"/>
    </xf>
    <xf numFmtId="49" fontId="12" fillId="0" borderId="14" xfId="1" applyNumberFormat="1" applyFont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center" vertical="center"/>
    </xf>
    <xf numFmtId="0" fontId="9" fillId="4" borderId="82" xfId="1" applyFont="1" applyFill="1" applyBorder="1" applyAlignment="1">
      <alignment horizontal="center" vertical="center"/>
    </xf>
    <xf numFmtId="0" fontId="9" fillId="4" borderId="771" xfId="1" applyFont="1" applyFill="1" applyBorder="1" applyAlignment="1">
      <alignment horizontal="center" vertical="center"/>
    </xf>
    <xf numFmtId="49" fontId="7" fillId="0" borderId="17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4" xfId="1" applyNumberFormat="1" applyFont="1" applyBorder="1" applyAlignment="1">
      <alignment horizontal="center" vertical="center" wrapText="1"/>
    </xf>
    <xf numFmtId="0" fontId="8" fillId="6" borderId="1120" xfId="1" applyFont="1" applyFill="1" applyBorder="1" applyAlignment="1">
      <alignment horizontal="center" vertical="center"/>
    </xf>
    <xf numFmtId="0" fontId="8" fillId="6" borderId="1145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right" vertical="center" wrapText="1"/>
    </xf>
    <xf numFmtId="0" fontId="12" fillId="3" borderId="48" xfId="1" applyFont="1" applyFill="1" applyBorder="1" applyAlignment="1">
      <alignment horizontal="center" vertical="center"/>
    </xf>
    <xf numFmtId="0" fontId="12" fillId="3" borderId="1039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1131" xfId="1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 vertical="center"/>
    </xf>
    <xf numFmtId="0" fontId="12" fillId="3" borderId="692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 wrapText="1"/>
    </xf>
    <xf numFmtId="0" fontId="9" fillId="3" borderId="85" xfId="1" applyFont="1" applyFill="1" applyBorder="1" applyAlignment="1">
      <alignment horizontal="center" vertical="center" wrapText="1"/>
    </xf>
    <xf numFmtId="0" fontId="9" fillId="3" borderId="1144" xfId="1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left"/>
    </xf>
    <xf numFmtId="0" fontId="12" fillId="4" borderId="13" xfId="2" applyFont="1" applyFill="1" applyBorder="1" applyAlignment="1">
      <alignment horizontal="left"/>
    </xf>
    <xf numFmtId="0" fontId="11" fillId="2" borderId="9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78" fillId="0" borderId="0" xfId="2" applyFont="1" applyAlignment="1">
      <alignment horizontal="right" vertical="center" wrapText="1"/>
    </xf>
    <xf numFmtId="0" fontId="16" fillId="0" borderId="24" xfId="2" applyFont="1" applyBorder="1" applyAlignment="1">
      <alignment horizontal="center" vertical="center" wrapText="1"/>
    </xf>
  </cellXfs>
  <cellStyles count="16">
    <cellStyle name="Normalny" xfId="0" builtinId="0"/>
    <cellStyle name="Normalny 2" xfId="1"/>
    <cellStyle name="Normalny 2 2" xfId="2"/>
    <cellStyle name="Normalny 2 2 2" xfId="12"/>
    <cellStyle name="Normalny 3" xfId="3"/>
    <cellStyle name="Normalny 3 2" xfId="4"/>
    <cellStyle name="Normalny 3 2 2" xfId="5"/>
    <cellStyle name="Normalny 4" xfId="6"/>
    <cellStyle name="Normalny 5" xfId="9"/>
    <cellStyle name="Normalny 5 2" xfId="11"/>
    <cellStyle name="Normalny 5 2 2" xfId="13"/>
    <cellStyle name="Normalny 6" xfId="10"/>
    <cellStyle name="Normalny 7" xfId="14"/>
    <cellStyle name="Normalny_Arkusz1" xfId="15"/>
    <cellStyle name="Procentowy 2" xfId="7"/>
    <cellStyle name="Walutowy 2" xfId="8"/>
  </cellStyles>
  <dxfs count="0"/>
  <tableStyles count="0" defaultTableStyle="TableStyleMedium9" defaultPivotStyle="PivotStyleLight16"/>
  <colors>
    <mruColors>
      <color rgb="FF99CCFF"/>
      <color rgb="FFFFFFCC"/>
      <color rgb="FF99FF33"/>
      <color rgb="FFCCCC00"/>
      <color rgb="FFFFFF66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I1009"/>
  <sheetViews>
    <sheetView view="pageBreakPreview" zoomScale="85" zoomScaleNormal="100" zoomScaleSheetLayoutView="85" workbookViewId="0">
      <pane ySplit="8" topLeftCell="A259" activePane="bottomLeft" state="frozen"/>
      <selection pane="bottomLeft" activeCell="M4" sqref="M4"/>
    </sheetView>
  </sheetViews>
  <sheetFormatPr defaultRowHeight="15"/>
  <cols>
    <col min="1" max="1" width="6.42578125" style="360" customWidth="1"/>
    <col min="2" max="2" width="8.85546875" style="360" customWidth="1"/>
    <col min="3" max="3" width="64" style="361" customWidth="1"/>
    <col min="4" max="4" width="10.5703125" style="361" customWidth="1"/>
    <col min="5" max="5" width="15.85546875" style="370" hidden="1" customWidth="1"/>
    <col min="6" max="6" width="12.42578125" style="370" hidden="1" customWidth="1"/>
    <col min="7" max="7" width="16" style="370" hidden="1" customWidth="1"/>
    <col min="8" max="8" width="15.140625" style="370" customWidth="1"/>
    <col min="9" max="9" width="13.140625" style="362" hidden="1" customWidth="1"/>
    <col min="10" max="16384" width="9.140625" style="363"/>
  </cols>
  <sheetData>
    <row r="1" spans="1:9" ht="15" customHeight="1">
      <c r="D1" s="2726" t="s">
        <v>1222</v>
      </c>
      <c r="E1" s="2726"/>
      <c r="F1" s="2726"/>
      <c r="G1" s="2726"/>
      <c r="H1" s="2726"/>
    </row>
    <row r="2" spans="1:9" ht="8.25" customHeight="1">
      <c r="D2" s="2726"/>
      <c r="E2" s="2726"/>
      <c r="F2" s="2726"/>
      <c r="G2" s="2726"/>
      <c r="H2" s="2726"/>
      <c r="I2" s="364"/>
    </row>
    <row r="3" spans="1:9" ht="28.5" customHeight="1">
      <c r="D3" s="2726"/>
      <c r="E3" s="2726"/>
      <c r="F3" s="2726"/>
      <c r="G3" s="2726"/>
      <c r="H3" s="2726"/>
      <c r="I3" s="364"/>
    </row>
    <row r="4" spans="1:9" ht="57.75" customHeight="1">
      <c r="A4" s="2727" t="s">
        <v>214</v>
      </c>
      <c r="B4" s="2727"/>
      <c r="C4" s="2727"/>
      <c r="D4" s="2727"/>
      <c r="E4" s="2727"/>
      <c r="F4" s="2727"/>
      <c r="G4" s="2727"/>
      <c r="H4" s="2727"/>
      <c r="I4" s="2727"/>
    </row>
    <row r="5" spans="1:9" ht="11.25" customHeight="1">
      <c r="A5" s="365"/>
      <c r="B5" s="365"/>
      <c r="C5" s="365"/>
      <c r="D5" s="365"/>
      <c r="E5" s="365"/>
      <c r="F5" s="365"/>
      <c r="G5" s="365"/>
      <c r="H5" s="365"/>
      <c r="I5" s="366"/>
    </row>
    <row r="6" spans="1:9" ht="12" customHeight="1" thickBot="1">
      <c r="A6" s="367"/>
      <c r="B6" s="368"/>
      <c r="C6" s="369"/>
      <c r="D6" s="369"/>
    </row>
    <row r="7" spans="1:9" ht="38.25" customHeight="1" thickBot="1">
      <c r="A7" s="2728" t="s">
        <v>0</v>
      </c>
      <c r="B7" s="2729" t="s">
        <v>215</v>
      </c>
      <c r="C7" s="2730" t="s">
        <v>216</v>
      </c>
      <c r="D7" s="2731" t="s">
        <v>3</v>
      </c>
      <c r="E7" s="2719" t="s">
        <v>217</v>
      </c>
      <c r="F7" s="2719" t="s">
        <v>218</v>
      </c>
      <c r="G7" s="2719" t="s">
        <v>219</v>
      </c>
      <c r="H7" s="2719" t="s">
        <v>220</v>
      </c>
      <c r="I7" s="2719" t="s">
        <v>221</v>
      </c>
    </row>
    <row r="8" spans="1:9" ht="17.25" customHeight="1" thickBot="1">
      <c r="A8" s="2728"/>
      <c r="B8" s="2729"/>
      <c r="C8" s="2730"/>
      <c r="D8" s="2731"/>
      <c r="E8" s="2720"/>
      <c r="F8" s="2720"/>
      <c r="G8" s="2720"/>
      <c r="H8" s="2720"/>
      <c r="I8" s="2720"/>
    </row>
    <row r="9" spans="1:9" ht="15.75" thickBot="1">
      <c r="A9" s="371" t="s">
        <v>222</v>
      </c>
      <c r="B9" s="372" t="s">
        <v>223</v>
      </c>
      <c r="C9" s="373" t="s">
        <v>224</v>
      </c>
      <c r="D9" s="374" t="s">
        <v>225</v>
      </c>
      <c r="E9" s="375" t="s">
        <v>226</v>
      </c>
      <c r="F9" s="375" t="s">
        <v>227</v>
      </c>
      <c r="G9" s="375"/>
      <c r="H9" s="375" t="s">
        <v>226</v>
      </c>
      <c r="I9" s="376" t="s">
        <v>227</v>
      </c>
    </row>
    <row r="10" spans="1:9" ht="15.75" thickBot="1">
      <c r="A10" s="377" t="s">
        <v>57</v>
      </c>
      <c r="B10" s="378"/>
      <c r="C10" s="379" t="s">
        <v>228</v>
      </c>
      <c r="D10" s="380"/>
      <c r="E10" s="381">
        <f>SUM(E11,E16,E24,E29,E37,E33,)</f>
        <v>25052510</v>
      </c>
      <c r="F10" s="381">
        <f>SUM(F11,F16,F24,F29,F37,F33,)</f>
        <v>27941000</v>
      </c>
      <c r="G10" s="381">
        <f>G37</f>
        <v>56000</v>
      </c>
      <c r="H10" s="381">
        <f t="shared" ref="H10:H73" si="0">F10+G10</f>
        <v>27997000</v>
      </c>
      <c r="I10" s="382">
        <f>H10/E10</f>
        <v>1.1175327342449919</v>
      </c>
    </row>
    <row r="11" spans="1:9" ht="15.75" thickBot="1">
      <c r="A11" s="2711"/>
      <c r="B11" s="383" t="s">
        <v>229</v>
      </c>
      <c r="C11" s="384" t="s">
        <v>230</v>
      </c>
      <c r="D11" s="385"/>
      <c r="E11" s="386">
        <f>SUM(E12,E15)</f>
        <v>9802000</v>
      </c>
      <c r="F11" s="386">
        <f>SUM(F12,F15)</f>
        <v>13002000</v>
      </c>
      <c r="G11" s="386"/>
      <c r="H11" s="386">
        <f t="shared" si="0"/>
        <v>13002000</v>
      </c>
      <c r="I11" s="387">
        <f t="shared" ref="I11:I74" si="1">H11/E11</f>
        <v>1.3264639869414405</v>
      </c>
    </row>
    <row r="12" spans="1:9" ht="15" customHeight="1">
      <c r="A12" s="2711"/>
      <c r="B12" s="2642" t="s">
        <v>231</v>
      </c>
      <c r="C12" s="2642"/>
      <c r="D12" s="388"/>
      <c r="E12" s="389">
        <f>SUM(E13:E14)</f>
        <v>9802000</v>
      </c>
      <c r="F12" s="389">
        <f>SUM(F13:F14)</f>
        <v>13002000</v>
      </c>
      <c r="G12" s="389"/>
      <c r="H12" s="389">
        <f t="shared" si="0"/>
        <v>13002000</v>
      </c>
      <c r="I12" s="390">
        <f t="shared" si="1"/>
        <v>1.3264639869414405</v>
      </c>
    </row>
    <row r="13" spans="1:9" ht="21" customHeight="1">
      <c r="A13" s="2711"/>
      <c r="B13" s="2721"/>
      <c r="C13" s="2722" t="s">
        <v>232</v>
      </c>
      <c r="D13" s="391" t="s">
        <v>233</v>
      </c>
      <c r="E13" s="392">
        <v>9800000</v>
      </c>
      <c r="F13" s="392">
        <v>13000000</v>
      </c>
      <c r="G13" s="392"/>
      <c r="H13" s="392">
        <f t="shared" si="0"/>
        <v>13000000</v>
      </c>
      <c r="I13" s="393">
        <f>H13/E13</f>
        <v>1.3265306122448979</v>
      </c>
    </row>
    <row r="14" spans="1:9" ht="18.75" customHeight="1">
      <c r="A14" s="2711"/>
      <c r="B14" s="2721"/>
      <c r="C14" s="2722"/>
      <c r="D14" s="394" t="s">
        <v>234</v>
      </c>
      <c r="E14" s="392">
        <v>2000</v>
      </c>
      <c r="F14" s="392">
        <v>2000</v>
      </c>
      <c r="G14" s="392"/>
      <c r="H14" s="392">
        <f t="shared" si="0"/>
        <v>2000</v>
      </c>
      <c r="I14" s="393">
        <f t="shared" si="1"/>
        <v>1</v>
      </c>
    </row>
    <row r="15" spans="1:9" ht="15" customHeight="1" thickBot="1">
      <c r="A15" s="2711"/>
      <c r="B15" s="2680" t="s">
        <v>235</v>
      </c>
      <c r="C15" s="2680"/>
      <c r="D15" s="395"/>
      <c r="E15" s="396">
        <v>0</v>
      </c>
      <c r="F15" s="396">
        <v>0</v>
      </c>
      <c r="G15" s="396"/>
      <c r="H15" s="396">
        <f t="shared" si="0"/>
        <v>0</v>
      </c>
      <c r="I15" s="397"/>
    </row>
    <row r="16" spans="1:9" ht="15.75" hidden="1" thickBot="1">
      <c r="A16" s="2711"/>
      <c r="B16" s="398" t="s">
        <v>236</v>
      </c>
      <c r="C16" s="399" t="s">
        <v>237</v>
      </c>
      <c r="D16" s="400"/>
      <c r="E16" s="386">
        <f>SUM(E17,E21)</f>
        <v>21167</v>
      </c>
      <c r="F16" s="386">
        <f>SUM(F17,F21)</f>
        <v>0</v>
      </c>
      <c r="G16" s="386"/>
      <c r="H16" s="386">
        <f t="shared" si="0"/>
        <v>0</v>
      </c>
      <c r="I16" s="387">
        <f t="shared" si="1"/>
        <v>0</v>
      </c>
    </row>
    <row r="17" spans="1:9" ht="15.75" hidden="1" thickBot="1">
      <c r="A17" s="2711"/>
      <c r="B17" s="2641" t="s">
        <v>231</v>
      </c>
      <c r="C17" s="2669"/>
      <c r="D17" s="401"/>
      <c r="E17" s="402">
        <f t="shared" ref="E17:F17" si="2">SUM(E18:E20)</f>
        <v>21167</v>
      </c>
      <c r="F17" s="402">
        <f t="shared" si="2"/>
        <v>0</v>
      </c>
      <c r="G17" s="402"/>
      <c r="H17" s="402">
        <f t="shared" si="0"/>
        <v>0</v>
      </c>
      <c r="I17" s="403">
        <f t="shared" si="1"/>
        <v>0</v>
      </c>
    </row>
    <row r="18" spans="1:9" ht="39" hidden="1" thickBot="1">
      <c r="A18" s="2711"/>
      <c r="B18" s="2723"/>
      <c r="C18" s="404" t="s">
        <v>238</v>
      </c>
      <c r="D18" s="405" t="s">
        <v>239</v>
      </c>
      <c r="E18" s="406">
        <v>21167</v>
      </c>
      <c r="F18" s="407">
        <v>0</v>
      </c>
      <c r="G18" s="407"/>
      <c r="H18" s="407">
        <f t="shared" si="0"/>
        <v>0</v>
      </c>
      <c r="I18" s="408">
        <f t="shared" si="1"/>
        <v>0</v>
      </c>
    </row>
    <row r="19" spans="1:9" ht="41.25" hidden="1" customHeight="1">
      <c r="A19" s="2711"/>
      <c r="B19" s="2724"/>
      <c r="C19" s="409" t="s">
        <v>240</v>
      </c>
      <c r="D19" s="410">
        <v>2210</v>
      </c>
      <c r="E19" s="411">
        <v>0</v>
      </c>
      <c r="F19" s="392">
        <v>0</v>
      </c>
      <c r="G19" s="392"/>
      <c r="H19" s="392">
        <f t="shared" si="0"/>
        <v>0</v>
      </c>
      <c r="I19" s="393"/>
    </row>
    <row r="20" spans="1:9" ht="42" hidden="1" customHeight="1">
      <c r="A20" s="2711"/>
      <c r="B20" s="2725"/>
      <c r="C20" s="412" t="s">
        <v>241</v>
      </c>
      <c r="D20" s="413">
        <v>2360</v>
      </c>
      <c r="E20" s="411">
        <v>0</v>
      </c>
      <c r="F20" s="392">
        <v>0</v>
      </c>
      <c r="G20" s="392"/>
      <c r="H20" s="392">
        <f t="shared" si="0"/>
        <v>0</v>
      </c>
      <c r="I20" s="393"/>
    </row>
    <row r="21" spans="1:9" ht="15.75" hidden="1" thickBot="1">
      <c r="A21" s="2711"/>
      <c r="B21" s="2657" t="s">
        <v>242</v>
      </c>
      <c r="C21" s="2658"/>
      <c r="D21" s="414"/>
      <c r="E21" s="415">
        <f>SUM(E22:E23)</f>
        <v>0</v>
      </c>
      <c r="F21" s="415">
        <f>SUM(F22:F23)</f>
        <v>0</v>
      </c>
      <c r="G21" s="415"/>
      <c r="H21" s="415">
        <f t="shared" si="0"/>
        <v>0</v>
      </c>
      <c r="I21" s="416"/>
    </row>
    <row r="22" spans="1:9" ht="44.25" hidden="1" customHeight="1">
      <c r="A22" s="2711"/>
      <c r="B22" s="2724"/>
      <c r="C22" s="417" t="s">
        <v>243</v>
      </c>
      <c r="D22" s="2701">
        <v>6510</v>
      </c>
      <c r="E22" s="411">
        <v>0</v>
      </c>
      <c r="F22" s="392">
        <v>0</v>
      </c>
      <c r="G22" s="392"/>
      <c r="H22" s="392">
        <f t="shared" si="0"/>
        <v>0</v>
      </c>
      <c r="I22" s="393"/>
    </row>
    <row r="23" spans="1:9" ht="83.25" hidden="1" customHeight="1" thickBot="1">
      <c r="A23" s="2711"/>
      <c r="B23" s="2724"/>
      <c r="C23" s="418" t="s">
        <v>244</v>
      </c>
      <c r="D23" s="2702"/>
      <c r="E23" s="419">
        <v>0</v>
      </c>
      <c r="F23" s="419">
        <v>0</v>
      </c>
      <c r="G23" s="419"/>
      <c r="H23" s="419">
        <f t="shared" si="0"/>
        <v>0</v>
      </c>
      <c r="I23" s="420"/>
    </row>
    <row r="24" spans="1:9" ht="15.75" thickBot="1">
      <c r="A24" s="2711"/>
      <c r="B24" s="383" t="s">
        <v>245</v>
      </c>
      <c r="C24" s="421" t="s">
        <v>246</v>
      </c>
      <c r="D24" s="400"/>
      <c r="E24" s="386">
        <f>SUM(E25,E28)</f>
        <v>4915000</v>
      </c>
      <c r="F24" s="386">
        <f>SUM(F25,F28)</f>
        <v>5345000</v>
      </c>
      <c r="G24" s="386"/>
      <c r="H24" s="386">
        <f t="shared" si="0"/>
        <v>5345000</v>
      </c>
      <c r="I24" s="387">
        <f t="shared" si="1"/>
        <v>1.0874872838250254</v>
      </c>
    </row>
    <row r="25" spans="1:9">
      <c r="A25" s="2711"/>
      <c r="B25" s="2641" t="s">
        <v>231</v>
      </c>
      <c r="C25" s="2669"/>
      <c r="D25" s="422"/>
      <c r="E25" s="389">
        <f>SUM(E26:E27)</f>
        <v>4915000</v>
      </c>
      <c r="F25" s="389">
        <f>SUM(F26:F27)</f>
        <v>5345000</v>
      </c>
      <c r="G25" s="389"/>
      <c r="H25" s="389">
        <f t="shared" si="0"/>
        <v>5345000</v>
      </c>
      <c r="I25" s="390">
        <f t="shared" si="1"/>
        <v>1.0874872838250254</v>
      </c>
    </row>
    <row r="26" spans="1:9" ht="42.75" customHeight="1">
      <c r="A26" s="2711"/>
      <c r="B26" s="2644"/>
      <c r="C26" s="423" t="s">
        <v>247</v>
      </c>
      <c r="D26" s="424">
        <v>2058</v>
      </c>
      <c r="E26" s="392">
        <v>3127000</v>
      </c>
      <c r="F26" s="392">
        <v>3401000</v>
      </c>
      <c r="G26" s="392"/>
      <c r="H26" s="392">
        <f t="shared" si="0"/>
        <v>3401000</v>
      </c>
      <c r="I26" s="393">
        <f t="shared" si="1"/>
        <v>1.0876239206907579</v>
      </c>
    </row>
    <row r="27" spans="1:9" ht="41.25" customHeight="1">
      <c r="A27" s="2711"/>
      <c r="B27" s="2645"/>
      <c r="C27" s="425" t="s">
        <v>248</v>
      </c>
      <c r="D27" s="426">
        <v>2059</v>
      </c>
      <c r="E27" s="392">
        <v>1788000</v>
      </c>
      <c r="F27" s="392">
        <v>1944000</v>
      </c>
      <c r="G27" s="392"/>
      <c r="H27" s="392">
        <f t="shared" si="0"/>
        <v>1944000</v>
      </c>
      <c r="I27" s="393">
        <f t="shared" si="1"/>
        <v>1.087248322147651</v>
      </c>
    </row>
    <row r="28" spans="1:9">
      <c r="A28" s="2711"/>
      <c r="B28" s="2657" t="s">
        <v>235</v>
      </c>
      <c r="C28" s="2658"/>
      <c r="D28" s="414"/>
      <c r="E28" s="415">
        <v>0</v>
      </c>
      <c r="F28" s="415">
        <v>0</v>
      </c>
      <c r="G28" s="415"/>
      <c r="H28" s="415">
        <f t="shared" si="0"/>
        <v>0</v>
      </c>
      <c r="I28" s="416"/>
    </row>
    <row r="29" spans="1:9" ht="15.75" thickBot="1">
      <c r="A29" s="2711"/>
      <c r="B29" s="427" t="s">
        <v>58</v>
      </c>
      <c r="C29" s="428" t="s">
        <v>249</v>
      </c>
      <c r="D29" s="429"/>
      <c r="E29" s="430">
        <f>SUM(E32,E30)</f>
        <v>8000000</v>
      </c>
      <c r="F29" s="430">
        <f>SUM(F32,F30)</f>
        <v>9500000</v>
      </c>
      <c r="G29" s="430"/>
      <c r="H29" s="430">
        <f t="shared" si="0"/>
        <v>9500000</v>
      </c>
      <c r="I29" s="431">
        <f t="shared" si="1"/>
        <v>1.1875</v>
      </c>
    </row>
    <row r="30" spans="1:9">
      <c r="A30" s="2711"/>
      <c r="B30" s="2713" t="s">
        <v>231</v>
      </c>
      <c r="C30" s="2713"/>
      <c r="D30" s="432"/>
      <c r="E30" s="389">
        <f>SUM(E31:E31)</f>
        <v>8000000</v>
      </c>
      <c r="F30" s="389">
        <f>SUM(F31:F31)</f>
        <v>9500000</v>
      </c>
      <c r="G30" s="389"/>
      <c r="H30" s="389">
        <f t="shared" si="0"/>
        <v>9500000</v>
      </c>
      <c r="I30" s="390">
        <f t="shared" si="1"/>
        <v>1.1875</v>
      </c>
    </row>
    <row r="31" spans="1:9" ht="18" customHeight="1">
      <c r="A31" s="2711"/>
      <c r="B31" s="433"/>
      <c r="C31" s="434" t="s">
        <v>250</v>
      </c>
      <c r="D31" s="435" t="s">
        <v>251</v>
      </c>
      <c r="E31" s="392">
        <v>8000000</v>
      </c>
      <c r="F31" s="392">
        <v>9500000</v>
      </c>
      <c r="G31" s="392"/>
      <c r="H31" s="392">
        <f t="shared" si="0"/>
        <v>9500000</v>
      </c>
      <c r="I31" s="393">
        <f t="shared" si="1"/>
        <v>1.1875</v>
      </c>
    </row>
    <row r="32" spans="1:9" ht="15.75" thickBot="1">
      <c r="A32" s="2711"/>
      <c r="B32" s="2714" t="s">
        <v>235</v>
      </c>
      <c r="C32" s="2715"/>
      <c r="D32" s="436"/>
      <c r="E32" s="396">
        <v>0</v>
      </c>
      <c r="F32" s="396">
        <v>0</v>
      </c>
      <c r="G32" s="396"/>
      <c r="H32" s="396">
        <f t="shared" si="0"/>
        <v>0</v>
      </c>
      <c r="I32" s="397"/>
    </row>
    <row r="33" spans="1:9" ht="15.75" hidden="1" thickBot="1">
      <c r="A33" s="437"/>
      <c r="B33" s="427" t="s">
        <v>252</v>
      </c>
      <c r="C33" s="428" t="s">
        <v>253</v>
      </c>
      <c r="D33" s="429"/>
      <c r="E33" s="430">
        <f>SUM(E36,E34)</f>
        <v>2500</v>
      </c>
      <c r="F33" s="430">
        <f>SUM(F36,F34)</f>
        <v>0</v>
      </c>
      <c r="G33" s="430"/>
      <c r="H33" s="430">
        <f t="shared" si="0"/>
        <v>0</v>
      </c>
      <c r="I33" s="431">
        <f t="shared" si="1"/>
        <v>0</v>
      </c>
    </row>
    <row r="34" spans="1:9" ht="15.75" hidden="1" thickBot="1">
      <c r="A34" s="437"/>
      <c r="B34" s="2713" t="s">
        <v>231</v>
      </c>
      <c r="C34" s="2713"/>
      <c r="D34" s="432"/>
      <c r="E34" s="389">
        <f>SUM(E35:E35)</f>
        <v>2500</v>
      </c>
      <c r="F34" s="389">
        <f>SUM(F35:F35)</f>
        <v>0</v>
      </c>
      <c r="G34" s="389"/>
      <c r="H34" s="389">
        <f t="shared" si="0"/>
        <v>0</v>
      </c>
      <c r="I34" s="390">
        <f t="shared" si="1"/>
        <v>0</v>
      </c>
    </row>
    <row r="35" spans="1:9" ht="39" hidden="1" thickBot="1">
      <c r="A35" s="437"/>
      <c r="B35" s="433"/>
      <c r="C35" s="438" t="s">
        <v>238</v>
      </c>
      <c r="D35" s="435" t="s">
        <v>239</v>
      </c>
      <c r="E35" s="392">
        <v>2500</v>
      </c>
      <c r="F35" s="392">
        <v>0</v>
      </c>
      <c r="G35" s="392"/>
      <c r="H35" s="392">
        <f t="shared" si="0"/>
        <v>0</v>
      </c>
      <c r="I35" s="393">
        <f t="shared" si="1"/>
        <v>0</v>
      </c>
    </row>
    <row r="36" spans="1:9" ht="15.75" hidden="1" thickBot="1">
      <c r="A36" s="437"/>
      <c r="B36" s="2714" t="s">
        <v>235</v>
      </c>
      <c r="C36" s="2715"/>
      <c r="D36" s="436"/>
      <c r="E36" s="396">
        <v>0</v>
      </c>
      <c r="F36" s="396">
        <v>0</v>
      </c>
      <c r="G36" s="396"/>
      <c r="H36" s="396">
        <f t="shared" si="0"/>
        <v>0</v>
      </c>
      <c r="I36" s="397"/>
    </row>
    <row r="37" spans="1:9" ht="15.75" thickBot="1">
      <c r="A37" s="437"/>
      <c r="B37" s="439" t="s">
        <v>59</v>
      </c>
      <c r="C37" s="421" t="s">
        <v>254</v>
      </c>
      <c r="D37" s="400"/>
      <c r="E37" s="440">
        <f>E38+E41</f>
        <v>2311843</v>
      </c>
      <c r="F37" s="440">
        <f>F38+F41</f>
        <v>94000</v>
      </c>
      <c r="G37" s="440">
        <f>G38+G41</f>
        <v>56000</v>
      </c>
      <c r="H37" s="440">
        <f t="shared" si="0"/>
        <v>150000</v>
      </c>
      <c r="I37" s="441">
        <f t="shared" si="1"/>
        <v>6.488329873611659E-2</v>
      </c>
    </row>
    <row r="38" spans="1:9">
      <c r="A38" s="437"/>
      <c r="B38" s="2657" t="s">
        <v>231</v>
      </c>
      <c r="C38" s="2675"/>
      <c r="D38" s="414"/>
      <c r="E38" s="415">
        <f>SUM(E39:E40)</f>
        <v>2311843</v>
      </c>
      <c r="F38" s="415">
        <f>SUM(F39:F40)</f>
        <v>94000</v>
      </c>
      <c r="G38" s="415">
        <f>G39+G40</f>
        <v>56000</v>
      </c>
      <c r="H38" s="415">
        <f t="shared" si="0"/>
        <v>150000</v>
      </c>
      <c r="I38" s="416">
        <f t="shared" si="1"/>
        <v>6.488329873611659E-2</v>
      </c>
    </row>
    <row r="39" spans="1:9" ht="40.5" customHeight="1">
      <c r="A39" s="437"/>
      <c r="B39" s="2644"/>
      <c r="C39" s="442" t="s">
        <v>240</v>
      </c>
      <c r="D39" s="443">
        <v>2210</v>
      </c>
      <c r="E39" s="419">
        <v>2201123</v>
      </c>
      <c r="F39" s="419">
        <v>94000</v>
      </c>
      <c r="G39" s="419">
        <v>56000</v>
      </c>
      <c r="H39" s="419">
        <f t="shared" si="0"/>
        <v>150000</v>
      </c>
      <c r="I39" s="420">
        <f t="shared" si="1"/>
        <v>6.8147032219462514E-2</v>
      </c>
    </row>
    <row r="40" spans="1:9" ht="33.75" hidden="1" customHeight="1">
      <c r="A40" s="437"/>
      <c r="B40" s="2645"/>
      <c r="C40" s="434" t="s">
        <v>255</v>
      </c>
      <c r="D40" s="444">
        <v>2460</v>
      </c>
      <c r="E40" s="445">
        <v>110720</v>
      </c>
      <c r="F40" s="445">
        <v>0</v>
      </c>
      <c r="G40" s="445"/>
      <c r="H40" s="445">
        <f t="shared" si="0"/>
        <v>0</v>
      </c>
      <c r="I40" s="446">
        <f t="shared" si="1"/>
        <v>0</v>
      </c>
    </row>
    <row r="41" spans="1:9" ht="15.75" thickBot="1">
      <c r="A41" s="447"/>
      <c r="B41" s="2646" t="s">
        <v>235</v>
      </c>
      <c r="C41" s="2647"/>
      <c r="D41" s="448"/>
      <c r="E41" s="396">
        <v>0</v>
      </c>
      <c r="F41" s="396">
        <v>0</v>
      </c>
      <c r="G41" s="396"/>
      <c r="H41" s="396">
        <f t="shared" si="0"/>
        <v>0</v>
      </c>
      <c r="I41" s="397"/>
    </row>
    <row r="42" spans="1:9" s="455" customFormat="1" ht="15.75" customHeight="1" thickBot="1">
      <c r="A42" s="449" t="s">
        <v>256</v>
      </c>
      <c r="B42" s="450"/>
      <c r="C42" s="451" t="s">
        <v>257</v>
      </c>
      <c r="D42" s="452"/>
      <c r="E42" s="453">
        <f t="shared" ref="E42:F42" si="3">SUM(E43)</f>
        <v>600000</v>
      </c>
      <c r="F42" s="453">
        <f t="shared" si="3"/>
        <v>520000</v>
      </c>
      <c r="G42" s="453"/>
      <c r="H42" s="453">
        <f t="shared" si="0"/>
        <v>520000</v>
      </c>
      <c r="I42" s="454">
        <f t="shared" si="1"/>
        <v>0.8666666666666667</v>
      </c>
    </row>
    <row r="43" spans="1:9" ht="44.25" customHeight="1" thickBot="1">
      <c r="A43" s="2710"/>
      <c r="B43" s="456" t="s">
        <v>258</v>
      </c>
      <c r="C43" s="384" t="s">
        <v>259</v>
      </c>
      <c r="D43" s="385"/>
      <c r="E43" s="386">
        <f t="shared" ref="E43:F43" si="4">SUM(E44,E47)</f>
        <v>600000</v>
      </c>
      <c r="F43" s="386">
        <f t="shared" si="4"/>
        <v>520000</v>
      </c>
      <c r="G43" s="386"/>
      <c r="H43" s="386">
        <f t="shared" si="0"/>
        <v>520000</v>
      </c>
      <c r="I43" s="387">
        <f t="shared" si="1"/>
        <v>0.8666666666666667</v>
      </c>
    </row>
    <row r="44" spans="1:9">
      <c r="A44" s="2711"/>
      <c r="B44" s="2709" t="s">
        <v>231</v>
      </c>
      <c r="C44" s="2707"/>
      <c r="D44" s="401"/>
      <c r="E44" s="389">
        <f t="shared" ref="E44:F44" si="5">SUM(E45:E46)</f>
        <v>600000</v>
      </c>
      <c r="F44" s="389">
        <f t="shared" si="5"/>
        <v>520000</v>
      </c>
      <c r="G44" s="389"/>
      <c r="H44" s="389">
        <f t="shared" si="0"/>
        <v>520000</v>
      </c>
      <c r="I44" s="390">
        <f t="shared" si="1"/>
        <v>0.8666666666666667</v>
      </c>
    </row>
    <row r="45" spans="1:9" ht="30.75" customHeight="1">
      <c r="A45" s="2711"/>
      <c r="B45" s="2716"/>
      <c r="C45" s="434" t="s">
        <v>260</v>
      </c>
      <c r="D45" s="444">
        <v>2058</v>
      </c>
      <c r="E45" s="392">
        <v>450000</v>
      </c>
      <c r="F45" s="392">
        <v>390000</v>
      </c>
      <c r="G45" s="392"/>
      <c r="H45" s="392">
        <f t="shared" si="0"/>
        <v>390000</v>
      </c>
      <c r="I45" s="393">
        <f t="shared" si="1"/>
        <v>0.8666666666666667</v>
      </c>
    </row>
    <row r="46" spans="1:9" ht="39" customHeight="1">
      <c r="A46" s="2711"/>
      <c r="B46" s="2717"/>
      <c r="C46" s="457" t="s">
        <v>261</v>
      </c>
      <c r="D46" s="444">
        <v>2059</v>
      </c>
      <c r="E46" s="419">
        <v>150000</v>
      </c>
      <c r="F46" s="419">
        <v>130000</v>
      </c>
      <c r="G46" s="419"/>
      <c r="H46" s="419">
        <f t="shared" si="0"/>
        <v>130000</v>
      </c>
      <c r="I46" s="420">
        <f t="shared" si="1"/>
        <v>0.8666666666666667</v>
      </c>
    </row>
    <row r="47" spans="1:9" ht="15.75" thickBot="1">
      <c r="A47" s="2711"/>
      <c r="B47" s="2712" t="s">
        <v>235</v>
      </c>
      <c r="C47" s="2718"/>
      <c r="D47" s="422"/>
      <c r="E47" s="458">
        <v>0</v>
      </c>
      <c r="F47" s="458">
        <v>0</v>
      </c>
      <c r="G47" s="458"/>
      <c r="H47" s="458">
        <f t="shared" si="0"/>
        <v>0</v>
      </c>
      <c r="I47" s="459"/>
    </row>
    <row r="48" spans="1:9" s="455" customFormat="1" ht="15.75" customHeight="1" thickBot="1">
      <c r="A48" s="449" t="s">
        <v>262</v>
      </c>
      <c r="B48" s="460"/>
      <c r="C48" s="461" t="s">
        <v>263</v>
      </c>
      <c r="D48" s="462"/>
      <c r="E48" s="463">
        <f t="shared" ref="E48:F48" si="6">SUM(E49)</f>
        <v>1368</v>
      </c>
      <c r="F48" s="463">
        <f t="shared" si="6"/>
        <v>1380</v>
      </c>
      <c r="G48" s="463">
        <f>G49</f>
        <v>-12</v>
      </c>
      <c r="H48" s="463">
        <f t="shared" si="0"/>
        <v>1368</v>
      </c>
      <c r="I48" s="464">
        <f t="shared" si="1"/>
        <v>1</v>
      </c>
    </row>
    <row r="49" spans="1:9" ht="15" customHeight="1">
      <c r="A49" s="2710"/>
      <c r="B49" s="465" t="s">
        <v>264</v>
      </c>
      <c r="C49" s="466" t="s">
        <v>254</v>
      </c>
      <c r="D49" s="467"/>
      <c r="E49" s="386">
        <f t="shared" ref="E49:F49" si="7">SUM(E52,E50)</f>
        <v>1368</v>
      </c>
      <c r="F49" s="386">
        <f t="shared" si="7"/>
        <v>1380</v>
      </c>
      <c r="G49" s="386">
        <f>G50+G52</f>
        <v>-12</v>
      </c>
      <c r="H49" s="386">
        <f t="shared" si="0"/>
        <v>1368</v>
      </c>
      <c r="I49" s="387">
        <f t="shared" si="1"/>
        <v>1</v>
      </c>
    </row>
    <row r="50" spans="1:9">
      <c r="A50" s="2711"/>
      <c r="B50" s="2657" t="s">
        <v>231</v>
      </c>
      <c r="C50" s="2675"/>
      <c r="D50" s="414"/>
      <c r="E50" s="415">
        <f t="shared" ref="E50" si="8">SUM(E51)</f>
        <v>1368</v>
      </c>
      <c r="F50" s="415">
        <f>SUM(F51)</f>
        <v>1380</v>
      </c>
      <c r="G50" s="415">
        <f>G51</f>
        <v>-12</v>
      </c>
      <c r="H50" s="415">
        <f t="shared" si="0"/>
        <v>1368</v>
      </c>
      <c r="I50" s="416">
        <f t="shared" si="1"/>
        <v>1</v>
      </c>
    </row>
    <row r="51" spans="1:9" ht="39" customHeight="1">
      <c r="A51" s="2711"/>
      <c r="B51" s="468"/>
      <c r="C51" s="469" t="s">
        <v>241</v>
      </c>
      <c r="D51" s="413">
        <v>2360</v>
      </c>
      <c r="E51" s="392">
        <v>1368</v>
      </c>
      <c r="F51" s="392">
        <v>1380</v>
      </c>
      <c r="G51" s="392">
        <v>-12</v>
      </c>
      <c r="H51" s="392">
        <f t="shared" si="0"/>
        <v>1368</v>
      </c>
      <c r="I51" s="393">
        <f t="shared" si="1"/>
        <v>1</v>
      </c>
    </row>
    <row r="52" spans="1:9" ht="15.75" thickBot="1">
      <c r="A52" s="2711"/>
      <c r="B52" s="2646" t="s">
        <v>265</v>
      </c>
      <c r="C52" s="2647"/>
      <c r="D52" s="448"/>
      <c r="E52" s="470">
        <v>0</v>
      </c>
      <c r="F52" s="470">
        <v>0</v>
      </c>
      <c r="G52" s="470">
        <v>0</v>
      </c>
      <c r="H52" s="470">
        <f t="shared" si="0"/>
        <v>0</v>
      </c>
      <c r="I52" s="471"/>
    </row>
    <row r="53" spans="1:9" s="455" customFormat="1" ht="15.75" hidden="1" customHeight="1" thickBot="1">
      <c r="A53" s="449" t="s">
        <v>266</v>
      </c>
      <c r="B53" s="460"/>
      <c r="C53" s="461" t="s">
        <v>267</v>
      </c>
      <c r="D53" s="462"/>
      <c r="E53" s="463">
        <f t="shared" ref="E53:F53" si="9">E54</f>
        <v>734419</v>
      </c>
      <c r="F53" s="463">
        <f t="shared" si="9"/>
        <v>0</v>
      </c>
      <c r="G53" s="463"/>
      <c r="H53" s="463">
        <f t="shared" si="0"/>
        <v>0</v>
      </c>
      <c r="I53" s="464">
        <f t="shared" si="1"/>
        <v>0</v>
      </c>
    </row>
    <row r="54" spans="1:9" ht="15" hidden="1" customHeight="1">
      <c r="A54" s="437"/>
      <c r="B54" s="472" t="s">
        <v>268</v>
      </c>
      <c r="C54" s="473" t="s">
        <v>269</v>
      </c>
      <c r="D54" s="474"/>
      <c r="E54" s="475">
        <f>E55+E59</f>
        <v>734419</v>
      </c>
      <c r="F54" s="475">
        <f>F55+F59</f>
        <v>0</v>
      </c>
      <c r="G54" s="475"/>
      <c r="H54" s="475">
        <f t="shared" si="0"/>
        <v>0</v>
      </c>
      <c r="I54" s="476">
        <f t="shared" si="1"/>
        <v>0</v>
      </c>
    </row>
    <row r="55" spans="1:9" ht="15.75" hidden="1" customHeight="1">
      <c r="A55" s="437"/>
      <c r="B55" s="2712" t="s">
        <v>231</v>
      </c>
      <c r="C55" s="2684"/>
      <c r="D55" s="422"/>
      <c r="E55" s="477">
        <f t="shared" ref="E55:F55" si="10">E56+E58+E57</f>
        <v>484419</v>
      </c>
      <c r="F55" s="477">
        <f t="shared" si="10"/>
        <v>0</v>
      </c>
      <c r="G55" s="477"/>
      <c r="H55" s="477">
        <f t="shared" si="0"/>
        <v>0</v>
      </c>
      <c r="I55" s="478">
        <f t="shared" si="1"/>
        <v>0</v>
      </c>
    </row>
    <row r="56" spans="1:9" ht="51.75" hidden="1" thickBot="1">
      <c r="A56" s="437"/>
      <c r="B56" s="479"/>
      <c r="C56" s="480" t="s">
        <v>270</v>
      </c>
      <c r="D56" s="2654">
        <v>2919</v>
      </c>
      <c r="E56" s="481">
        <v>6503</v>
      </c>
      <c r="F56" s="445">
        <v>0</v>
      </c>
      <c r="G56" s="445"/>
      <c r="H56" s="445">
        <f t="shared" si="0"/>
        <v>0</v>
      </c>
      <c r="I56" s="446">
        <f t="shared" si="1"/>
        <v>0</v>
      </c>
    </row>
    <row r="57" spans="1:9" ht="39" hidden="1" thickBot="1">
      <c r="A57" s="437"/>
      <c r="B57" s="482"/>
      <c r="C57" s="483" t="s">
        <v>271</v>
      </c>
      <c r="D57" s="2656"/>
      <c r="E57" s="411">
        <v>395</v>
      </c>
      <c r="F57" s="392">
        <v>0</v>
      </c>
      <c r="G57" s="392"/>
      <c r="H57" s="392">
        <f t="shared" si="0"/>
        <v>0</v>
      </c>
      <c r="I57" s="393">
        <f t="shared" si="1"/>
        <v>0</v>
      </c>
    </row>
    <row r="58" spans="1:9" ht="39" hidden="1" thickBot="1">
      <c r="A58" s="437"/>
      <c r="B58" s="482"/>
      <c r="C58" s="484" t="s">
        <v>272</v>
      </c>
      <c r="D58" s="485">
        <v>2959</v>
      </c>
      <c r="E58" s="411">
        <v>477521</v>
      </c>
      <c r="F58" s="392">
        <v>0</v>
      </c>
      <c r="G58" s="392"/>
      <c r="H58" s="392">
        <f t="shared" si="0"/>
        <v>0</v>
      </c>
      <c r="I58" s="393">
        <f t="shared" si="1"/>
        <v>0</v>
      </c>
    </row>
    <row r="59" spans="1:9" ht="15.75" hidden="1" thickBot="1">
      <c r="A59" s="437"/>
      <c r="B59" s="2657" t="s">
        <v>242</v>
      </c>
      <c r="C59" s="2675"/>
      <c r="D59" s="486"/>
      <c r="E59" s="477">
        <f>E60</f>
        <v>250000</v>
      </c>
      <c r="F59" s="477">
        <f>F60</f>
        <v>0</v>
      </c>
      <c r="G59" s="477"/>
      <c r="H59" s="477">
        <f t="shared" si="0"/>
        <v>0</v>
      </c>
      <c r="I59" s="478">
        <f t="shared" si="1"/>
        <v>0</v>
      </c>
    </row>
    <row r="60" spans="1:9" ht="51.75" hidden="1" thickBot="1">
      <c r="A60" s="437"/>
      <c r="B60" s="487"/>
      <c r="C60" s="488" t="s">
        <v>273</v>
      </c>
      <c r="D60" s="489">
        <v>6697</v>
      </c>
      <c r="E60" s="490">
        <v>250000</v>
      </c>
      <c r="F60" s="491">
        <v>0</v>
      </c>
      <c r="G60" s="491"/>
      <c r="H60" s="491">
        <f t="shared" si="0"/>
        <v>0</v>
      </c>
      <c r="I60" s="492">
        <f t="shared" si="1"/>
        <v>0</v>
      </c>
    </row>
    <row r="61" spans="1:9" ht="15.75" thickBot="1">
      <c r="A61" s="493">
        <v>600</v>
      </c>
      <c r="B61" s="494"/>
      <c r="C61" s="495" t="s">
        <v>82</v>
      </c>
      <c r="D61" s="380"/>
      <c r="E61" s="381">
        <f>SUM(E62,E76,E80,E84,E101,E71)</f>
        <v>226252703</v>
      </c>
      <c r="F61" s="381">
        <f>SUM(F62,F76,F80,F84,F101,F71)</f>
        <v>191068914</v>
      </c>
      <c r="G61" s="381">
        <f>G80+G84+G76+G101</f>
        <v>-2336219</v>
      </c>
      <c r="H61" s="381">
        <f t="shared" si="0"/>
        <v>188732695</v>
      </c>
      <c r="I61" s="382">
        <f t="shared" si="1"/>
        <v>0.83416769168941152</v>
      </c>
    </row>
    <row r="62" spans="1:9" ht="15.75" thickBot="1">
      <c r="A62" s="2638"/>
      <c r="B62" s="496">
        <v>60001</v>
      </c>
      <c r="C62" s="421" t="s">
        <v>274</v>
      </c>
      <c r="D62" s="400"/>
      <c r="E62" s="386">
        <f>SUM(E63,E69)</f>
        <v>51658616</v>
      </c>
      <c r="F62" s="386">
        <f>SUM(F63,F69)</f>
        <v>27956552</v>
      </c>
      <c r="G62" s="386"/>
      <c r="H62" s="386">
        <f t="shared" si="0"/>
        <v>27956552</v>
      </c>
      <c r="I62" s="387">
        <f t="shared" si="1"/>
        <v>0.54117888098279676</v>
      </c>
    </row>
    <row r="63" spans="1:9">
      <c r="A63" s="2639"/>
      <c r="B63" s="2641" t="s">
        <v>231</v>
      </c>
      <c r="C63" s="2668"/>
      <c r="D63" s="497"/>
      <c r="E63" s="402">
        <f>SUM(E64:E68)</f>
        <v>51658616</v>
      </c>
      <c r="F63" s="402">
        <f>SUM(F64:F68)</f>
        <v>26556552</v>
      </c>
      <c r="G63" s="402"/>
      <c r="H63" s="402">
        <f t="shared" si="0"/>
        <v>26556552</v>
      </c>
      <c r="I63" s="403">
        <f t="shared" si="1"/>
        <v>0.51407788392937204</v>
      </c>
    </row>
    <row r="64" spans="1:9" ht="19.5" customHeight="1">
      <c r="A64" s="2639"/>
      <c r="B64" s="2644"/>
      <c r="C64" s="498" t="s">
        <v>275</v>
      </c>
      <c r="D64" s="499" t="s">
        <v>276</v>
      </c>
      <c r="E64" s="407">
        <v>9487419</v>
      </c>
      <c r="F64" s="407">
        <v>10328300</v>
      </c>
      <c r="G64" s="407"/>
      <c r="H64" s="407">
        <f t="shared" si="0"/>
        <v>10328300</v>
      </c>
      <c r="I64" s="408">
        <f t="shared" si="1"/>
        <v>1.0886311651250988</v>
      </c>
    </row>
    <row r="65" spans="1:9" ht="19.5" hidden="1" customHeight="1">
      <c r="A65" s="2639"/>
      <c r="B65" s="2644"/>
      <c r="C65" s="498" t="s">
        <v>277</v>
      </c>
      <c r="D65" s="500" t="s">
        <v>239</v>
      </c>
      <c r="E65" s="392">
        <v>9625500</v>
      </c>
      <c r="F65" s="392">
        <v>0</v>
      </c>
      <c r="G65" s="392"/>
      <c r="H65" s="392">
        <f t="shared" si="0"/>
        <v>0</v>
      </c>
      <c r="I65" s="393">
        <f t="shared" si="1"/>
        <v>0</v>
      </c>
    </row>
    <row r="66" spans="1:9" ht="18" hidden="1" customHeight="1">
      <c r="A66" s="2639"/>
      <c r="B66" s="2644"/>
      <c r="C66" s="501" t="s">
        <v>278</v>
      </c>
      <c r="D66" s="502" t="s">
        <v>234</v>
      </c>
      <c r="E66" s="445">
        <v>19849000</v>
      </c>
      <c r="F66" s="445">
        <v>0</v>
      </c>
      <c r="G66" s="445"/>
      <c r="H66" s="445">
        <f t="shared" si="0"/>
        <v>0</v>
      </c>
      <c r="I66" s="446">
        <f t="shared" si="1"/>
        <v>0</v>
      </c>
    </row>
    <row r="67" spans="1:9" ht="30.75" customHeight="1">
      <c r="A67" s="2639"/>
      <c r="B67" s="2644"/>
      <c r="C67" s="503" t="s">
        <v>279</v>
      </c>
      <c r="D67" s="504" t="s">
        <v>280</v>
      </c>
      <c r="E67" s="445">
        <v>10767825</v>
      </c>
      <c r="F67" s="445">
        <v>16228252</v>
      </c>
      <c r="G67" s="445"/>
      <c r="H67" s="445">
        <f t="shared" si="0"/>
        <v>16228252</v>
      </c>
      <c r="I67" s="446">
        <f t="shared" si="1"/>
        <v>1.5071058454237509</v>
      </c>
    </row>
    <row r="68" spans="1:9" ht="18" hidden="1" customHeight="1">
      <c r="A68" s="2639"/>
      <c r="B68" s="2645"/>
      <c r="C68" s="505" t="s">
        <v>281</v>
      </c>
      <c r="D68" s="504" t="s">
        <v>282</v>
      </c>
      <c r="E68" s="445">
        <v>1928872</v>
      </c>
      <c r="F68" s="445">
        <v>0</v>
      </c>
      <c r="G68" s="445"/>
      <c r="H68" s="445">
        <f t="shared" si="0"/>
        <v>0</v>
      </c>
      <c r="I68" s="446">
        <f t="shared" si="1"/>
        <v>0</v>
      </c>
    </row>
    <row r="69" spans="1:9" ht="15.75" customHeight="1">
      <c r="A69" s="2639"/>
      <c r="B69" s="2657" t="s">
        <v>242</v>
      </c>
      <c r="C69" s="2706"/>
      <c r="D69" s="506"/>
      <c r="E69" s="415">
        <f t="shared" ref="E69:F69" si="11">E70</f>
        <v>0</v>
      </c>
      <c r="F69" s="415">
        <f t="shared" si="11"/>
        <v>1400000</v>
      </c>
      <c r="G69" s="415"/>
      <c r="H69" s="415">
        <f t="shared" si="0"/>
        <v>1400000</v>
      </c>
      <c r="I69" s="416"/>
    </row>
    <row r="70" spans="1:9" ht="43.5" customHeight="1" thickBot="1">
      <c r="A70" s="2639"/>
      <c r="B70" s="507"/>
      <c r="C70" s="508" t="s">
        <v>283</v>
      </c>
      <c r="D70" s="509">
        <v>6260</v>
      </c>
      <c r="E70" s="510">
        <v>0</v>
      </c>
      <c r="F70" s="419">
        <v>1400000</v>
      </c>
      <c r="G70" s="419"/>
      <c r="H70" s="419">
        <f t="shared" si="0"/>
        <v>1400000</v>
      </c>
      <c r="I70" s="420"/>
    </row>
    <row r="71" spans="1:9" ht="15.75" thickBot="1">
      <c r="A71" s="2639"/>
      <c r="B71" s="496">
        <v>60002</v>
      </c>
      <c r="C71" s="421" t="s">
        <v>284</v>
      </c>
      <c r="D71" s="400"/>
      <c r="E71" s="386">
        <f>E72+E74</f>
        <v>1134934</v>
      </c>
      <c r="F71" s="386">
        <f>F72+F74</f>
        <v>32162875</v>
      </c>
      <c r="G71" s="386"/>
      <c r="H71" s="386">
        <f t="shared" si="0"/>
        <v>32162875</v>
      </c>
      <c r="I71" s="387">
        <f t="shared" si="1"/>
        <v>28.33898270736448</v>
      </c>
    </row>
    <row r="72" spans="1:9">
      <c r="A72" s="2639"/>
      <c r="B72" s="2641" t="s">
        <v>231</v>
      </c>
      <c r="C72" s="2668"/>
      <c r="D72" s="497"/>
      <c r="E72" s="402">
        <f t="shared" ref="E72:F72" si="12">E73</f>
        <v>0</v>
      </c>
      <c r="F72" s="402">
        <f t="shared" si="12"/>
        <v>10133508</v>
      </c>
      <c r="G72" s="402"/>
      <c r="H72" s="402">
        <f t="shared" si="0"/>
        <v>10133508</v>
      </c>
      <c r="I72" s="403"/>
    </row>
    <row r="73" spans="1:9" s="514" customFormat="1" ht="49.5" customHeight="1">
      <c r="A73" s="2639"/>
      <c r="B73" s="511"/>
      <c r="C73" s="512" t="s">
        <v>285</v>
      </c>
      <c r="D73" s="500" t="s">
        <v>234</v>
      </c>
      <c r="E73" s="513">
        <v>0</v>
      </c>
      <c r="F73" s="407">
        <v>10133508</v>
      </c>
      <c r="G73" s="407"/>
      <c r="H73" s="407">
        <f t="shared" si="0"/>
        <v>10133508</v>
      </c>
      <c r="I73" s="408"/>
    </row>
    <row r="74" spans="1:9" ht="15.75" customHeight="1">
      <c r="A74" s="2639"/>
      <c r="B74" s="2657" t="s">
        <v>242</v>
      </c>
      <c r="C74" s="2706"/>
      <c r="D74" s="506"/>
      <c r="E74" s="415">
        <f>E75</f>
        <v>1134934</v>
      </c>
      <c r="F74" s="415">
        <f>F75</f>
        <v>22029367</v>
      </c>
      <c r="G74" s="415"/>
      <c r="H74" s="415">
        <f t="shared" ref="H74:H137" si="13">F74+G74</f>
        <v>22029367</v>
      </c>
      <c r="I74" s="416">
        <f t="shared" si="1"/>
        <v>19.410262623200996</v>
      </c>
    </row>
    <row r="75" spans="1:9" ht="52.5" customHeight="1" thickBot="1">
      <c r="A75" s="2639"/>
      <c r="B75" s="515"/>
      <c r="C75" s="516" t="s">
        <v>286</v>
      </c>
      <c r="D75" s="517">
        <v>6257</v>
      </c>
      <c r="E75" s="490">
        <v>1134934</v>
      </c>
      <c r="F75" s="491">
        <v>22029367</v>
      </c>
      <c r="G75" s="491"/>
      <c r="H75" s="491">
        <f t="shared" si="13"/>
        <v>22029367</v>
      </c>
      <c r="I75" s="492">
        <f t="shared" ref="I75:I138" si="14">H75/E75</f>
        <v>19.410262623200996</v>
      </c>
    </row>
    <row r="76" spans="1:9" ht="15.75" thickBot="1">
      <c r="A76" s="2639"/>
      <c r="B76" s="518">
        <v>60003</v>
      </c>
      <c r="C76" s="519" t="s">
        <v>287</v>
      </c>
      <c r="D76" s="385"/>
      <c r="E76" s="386">
        <f>SUM(E77,E79)</f>
        <v>56960000</v>
      </c>
      <c r="F76" s="386">
        <f>SUM(F77,F79)</f>
        <v>57000000</v>
      </c>
      <c r="G76" s="386">
        <f>G77+G79</f>
        <v>-2000000</v>
      </c>
      <c r="H76" s="386">
        <f t="shared" si="13"/>
        <v>55000000</v>
      </c>
      <c r="I76" s="387">
        <f t="shared" si="14"/>
        <v>0.9655898876404494</v>
      </c>
    </row>
    <row r="77" spans="1:9">
      <c r="A77" s="2639"/>
      <c r="B77" s="2649" t="s">
        <v>231</v>
      </c>
      <c r="C77" s="2707"/>
      <c r="D77" s="422"/>
      <c r="E77" s="389">
        <f>SUM(E78:E78)</f>
        <v>56960000</v>
      </c>
      <c r="F77" s="389">
        <f>SUM(F78:F78)</f>
        <v>57000000</v>
      </c>
      <c r="G77" s="389">
        <f>G78</f>
        <v>-2000000</v>
      </c>
      <c r="H77" s="389">
        <f t="shared" si="13"/>
        <v>55000000</v>
      </c>
      <c r="I77" s="390">
        <f t="shared" si="14"/>
        <v>0.9655898876404494</v>
      </c>
    </row>
    <row r="78" spans="1:9" ht="39.75" customHeight="1">
      <c r="A78" s="2639"/>
      <c r="B78" s="520"/>
      <c r="C78" s="434" t="s">
        <v>240</v>
      </c>
      <c r="D78" s="521">
        <v>2210</v>
      </c>
      <c r="E78" s="392">
        <v>56960000</v>
      </c>
      <c r="F78" s="392">
        <v>57000000</v>
      </c>
      <c r="G78" s="392">
        <v>-2000000</v>
      </c>
      <c r="H78" s="392">
        <f t="shared" si="13"/>
        <v>55000000</v>
      </c>
      <c r="I78" s="393">
        <f t="shared" si="14"/>
        <v>0.9655898876404494</v>
      </c>
    </row>
    <row r="79" spans="1:9" ht="15.75" thickBot="1">
      <c r="A79" s="2639"/>
      <c r="B79" s="2646" t="s">
        <v>235</v>
      </c>
      <c r="C79" s="2708"/>
      <c r="D79" s="522"/>
      <c r="E79" s="477">
        <v>0</v>
      </c>
      <c r="F79" s="477">
        <v>0</v>
      </c>
      <c r="G79" s="477"/>
      <c r="H79" s="477">
        <f t="shared" si="13"/>
        <v>0</v>
      </c>
      <c r="I79" s="478"/>
    </row>
    <row r="80" spans="1:9" ht="15.75" hidden="1" thickBot="1">
      <c r="A80" s="2639"/>
      <c r="B80" s="496">
        <v>60004</v>
      </c>
      <c r="C80" s="421" t="s">
        <v>288</v>
      </c>
      <c r="D80" s="400"/>
      <c r="E80" s="386">
        <f>SUM(E83,E81)</f>
        <v>450000</v>
      </c>
      <c r="F80" s="386">
        <f>SUM(F83,F81)</f>
        <v>0</v>
      </c>
      <c r="G80" s="386">
        <f>G81</f>
        <v>0</v>
      </c>
      <c r="H80" s="386">
        <f t="shared" si="13"/>
        <v>0</v>
      </c>
      <c r="I80" s="387">
        <f t="shared" si="14"/>
        <v>0</v>
      </c>
    </row>
    <row r="81" spans="1:9" ht="15.75" hidden="1" thickBot="1">
      <c r="A81" s="2639"/>
      <c r="B81" s="2709" t="s">
        <v>231</v>
      </c>
      <c r="C81" s="2707"/>
      <c r="D81" s="422"/>
      <c r="E81" s="389">
        <f>SUM(E82:E82)</f>
        <v>450000</v>
      </c>
      <c r="F81" s="389">
        <f>SUM(F82:F82)</f>
        <v>0</v>
      </c>
      <c r="G81" s="389">
        <f>G82</f>
        <v>0</v>
      </c>
      <c r="H81" s="389">
        <f t="shared" si="13"/>
        <v>0</v>
      </c>
      <c r="I81" s="390">
        <f t="shared" si="14"/>
        <v>0</v>
      </c>
    </row>
    <row r="82" spans="1:9" ht="21" hidden="1" customHeight="1">
      <c r="A82" s="2639"/>
      <c r="B82" s="523"/>
      <c r="C82" s="524" t="s">
        <v>289</v>
      </c>
      <c r="D82" s="525" t="s">
        <v>290</v>
      </c>
      <c r="E82" s="411">
        <v>450000</v>
      </c>
      <c r="F82" s="392">
        <v>0</v>
      </c>
      <c r="G82" s="392"/>
      <c r="H82" s="392">
        <f t="shared" si="13"/>
        <v>0</v>
      </c>
      <c r="I82" s="393">
        <f t="shared" si="14"/>
        <v>0</v>
      </c>
    </row>
    <row r="83" spans="1:9" ht="15.75" hidden="1" thickBot="1">
      <c r="A83" s="2639"/>
      <c r="B83" s="2646" t="s">
        <v>235</v>
      </c>
      <c r="C83" s="2647"/>
      <c r="D83" s="448"/>
      <c r="E83" s="470">
        <v>0</v>
      </c>
      <c r="F83" s="470">
        <v>0</v>
      </c>
      <c r="G83" s="470"/>
      <c r="H83" s="470">
        <f t="shared" si="13"/>
        <v>0</v>
      </c>
      <c r="I83" s="471"/>
    </row>
    <row r="84" spans="1:9" ht="15.75" thickBot="1">
      <c r="A84" s="2639"/>
      <c r="B84" s="526">
        <v>60013</v>
      </c>
      <c r="C84" s="421" t="s">
        <v>291</v>
      </c>
      <c r="D84" s="400"/>
      <c r="E84" s="386">
        <f>SUM(E85,E91)</f>
        <v>115854582</v>
      </c>
      <c r="F84" s="386">
        <f>SUM(F85,F91)</f>
        <v>73795337</v>
      </c>
      <c r="G84" s="386">
        <f>G85+G91</f>
        <v>-351956</v>
      </c>
      <c r="H84" s="386">
        <f t="shared" si="13"/>
        <v>73443381</v>
      </c>
      <c r="I84" s="387">
        <f t="shared" si="14"/>
        <v>0.63392728826210776</v>
      </c>
    </row>
    <row r="85" spans="1:9">
      <c r="A85" s="2639"/>
      <c r="B85" s="2649" t="s">
        <v>231</v>
      </c>
      <c r="C85" s="2676"/>
      <c r="D85" s="422"/>
      <c r="E85" s="389">
        <f>SUM(E86:E90)</f>
        <v>18750151</v>
      </c>
      <c r="F85" s="389">
        <f>SUM(F86:F90)</f>
        <v>17349651</v>
      </c>
      <c r="G85" s="389">
        <f>G88</f>
        <v>2034094</v>
      </c>
      <c r="H85" s="389">
        <f t="shared" si="13"/>
        <v>19383745</v>
      </c>
      <c r="I85" s="390">
        <f t="shared" si="14"/>
        <v>1.0337914078665287</v>
      </c>
    </row>
    <row r="86" spans="1:9">
      <c r="A86" s="2639"/>
      <c r="B86" s="2643"/>
      <c r="C86" s="2696" t="s">
        <v>292</v>
      </c>
      <c r="D86" s="527" t="s">
        <v>290</v>
      </c>
      <c r="E86" s="392">
        <v>800000</v>
      </c>
      <c r="F86" s="392">
        <v>900000</v>
      </c>
      <c r="G86" s="392"/>
      <c r="H86" s="392">
        <f t="shared" si="13"/>
        <v>900000</v>
      </c>
      <c r="I86" s="393">
        <f t="shared" si="14"/>
        <v>1.125</v>
      </c>
    </row>
    <row r="87" spans="1:9" ht="14.25" customHeight="1">
      <c r="A87" s="2639"/>
      <c r="B87" s="2644"/>
      <c r="C87" s="2697"/>
      <c r="D87" s="435" t="s">
        <v>234</v>
      </c>
      <c r="E87" s="392">
        <v>9000</v>
      </c>
      <c r="F87" s="392">
        <v>9000</v>
      </c>
      <c r="G87" s="392"/>
      <c r="H87" s="392">
        <f t="shared" si="13"/>
        <v>9000</v>
      </c>
      <c r="I87" s="393">
        <f t="shared" si="14"/>
        <v>1</v>
      </c>
    </row>
    <row r="88" spans="1:9" ht="31.5" customHeight="1">
      <c r="A88" s="2639"/>
      <c r="B88" s="2644"/>
      <c r="C88" s="528" t="s">
        <v>293</v>
      </c>
      <c r="D88" s="435" t="s">
        <v>294</v>
      </c>
      <c r="E88" s="392">
        <v>16440651</v>
      </c>
      <c r="F88" s="392">
        <v>16440651</v>
      </c>
      <c r="G88" s="392">
        <v>2034094</v>
      </c>
      <c r="H88" s="392">
        <f t="shared" si="13"/>
        <v>18474745</v>
      </c>
      <c r="I88" s="393">
        <f t="shared" si="14"/>
        <v>1.1237234462309309</v>
      </c>
    </row>
    <row r="89" spans="1:9" ht="31.5" hidden="1" customHeight="1">
      <c r="A89" s="2639"/>
      <c r="B89" s="2644"/>
      <c r="C89" s="529" t="s">
        <v>295</v>
      </c>
      <c r="D89" s="521" t="s">
        <v>296</v>
      </c>
      <c r="E89" s="392">
        <v>250000</v>
      </c>
      <c r="F89" s="392">
        <v>0</v>
      </c>
      <c r="G89" s="392"/>
      <c r="H89" s="392">
        <f t="shared" si="13"/>
        <v>0</v>
      </c>
      <c r="I89" s="393">
        <f t="shared" si="14"/>
        <v>0</v>
      </c>
    </row>
    <row r="90" spans="1:9" ht="31.5" hidden="1" customHeight="1">
      <c r="A90" s="2639"/>
      <c r="B90" s="2644"/>
      <c r="C90" s="530" t="s">
        <v>297</v>
      </c>
      <c r="D90" s="531" t="s">
        <v>298</v>
      </c>
      <c r="E90" s="419">
        <v>1250500</v>
      </c>
      <c r="F90" s="419">
        <v>0</v>
      </c>
      <c r="G90" s="419"/>
      <c r="H90" s="419">
        <f t="shared" si="13"/>
        <v>0</v>
      </c>
      <c r="I90" s="420">
        <f t="shared" si="14"/>
        <v>0</v>
      </c>
    </row>
    <row r="91" spans="1:9">
      <c r="A91" s="2639"/>
      <c r="B91" s="2657" t="s">
        <v>242</v>
      </c>
      <c r="C91" s="2675"/>
      <c r="D91" s="414"/>
      <c r="E91" s="415">
        <f>SUM(E92:E100)</f>
        <v>97104431</v>
      </c>
      <c r="F91" s="415">
        <f>SUM(F92:F100)</f>
        <v>56445686</v>
      </c>
      <c r="G91" s="415">
        <f>SUM(G92:G100)</f>
        <v>-2386050</v>
      </c>
      <c r="H91" s="415">
        <f>F91+G91</f>
        <v>54059636</v>
      </c>
      <c r="I91" s="416">
        <f t="shared" si="14"/>
        <v>0.556716469508997</v>
      </c>
    </row>
    <row r="92" spans="1:9" ht="39.75" customHeight="1">
      <c r="A92" s="2639"/>
      <c r="B92" s="2644"/>
      <c r="C92" s="532" t="s">
        <v>299</v>
      </c>
      <c r="D92" s="2699">
        <v>6257</v>
      </c>
      <c r="E92" s="445">
        <v>76897440</v>
      </c>
      <c r="F92" s="445">
        <v>25866432</v>
      </c>
      <c r="G92" s="445">
        <v>25500</v>
      </c>
      <c r="H92" s="445">
        <f>F92+G92</f>
        <v>25891932</v>
      </c>
      <c r="I92" s="446">
        <f t="shared" si="14"/>
        <v>0.33670733382021562</v>
      </c>
    </row>
    <row r="93" spans="1:9" ht="41.25" hidden="1" customHeight="1">
      <c r="A93" s="2639"/>
      <c r="B93" s="2644"/>
      <c r="C93" s="533" t="s">
        <v>300</v>
      </c>
      <c r="D93" s="2700"/>
      <c r="E93" s="411">
        <v>1462735</v>
      </c>
      <c r="F93" s="392">
        <v>0</v>
      </c>
      <c r="G93" s="392"/>
      <c r="H93" s="392">
        <f t="shared" si="13"/>
        <v>0</v>
      </c>
      <c r="I93" s="393">
        <f t="shared" si="14"/>
        <v>0</v>
      </c>
    </row>
    <row r="94" spans="1:9" ht="55.5" hidden="1" customHeight="1">
      <c r="A94" s="2639"/>
      <c r="B94" s="2644"/>
      <c r="C94" s="532" t="s">
        <v>301</v>
      </c>
      <c r="D94" s="2701">
        <v>6258</v>
      </c>
      <c r="E94" s="411">
        <v>1000000</v>
      </c>
      <c r="F94" s="392">
        <v>0</v>
      </c>
      <c r="G94" s="392"/>
      <c r="H94" s="392">
        <f t="shared" si="13"/>
        <v>0</v>
      </c>
      <c r="I94" s="393">
        <f t="shared" si="14"/>
        <v>0</v>
      </c>
    </row>
    <row r="95" spans="1:9" ht="53.25" hidden="1" customHeight="1">
      <c r="A95" s="2639"/>
      <c r="B95" s="2644"/>
      <c r="C95" s="532" t="s">
        <v>302</v>
      </c>
      <c r="D95" s="2702"/>
      <c r="E95" s="411">
        <v>0</v>
      </c>
      <c r="F95" s="392">
        <v>0</v>
      </c>
      <c r="G95" s="392"/>
      <c r="H95" s="392">
        <f t="shared" si="13"/>
        <v>0</v>
      </c>
      <c r="I95" s="393"/>
    </row>
    <row r="96" spans="1:9" ht="43.5" hidden="1" customHeight="1">
      <c r="A96" s="2639"/>
      <c r="B96" s="2644"/>
      <c r="C96" s="532" t="s">
        <v>303</v>
      </c>
      <c r="D96" s="2702"/>
      <c r="E96" s="411">
        <v>0</v>
      </c>
      <c r="F96" s="392">
        <v>5468731</v>
      </c>
      <c r="G96" s="392">
        <v>-5468731</v>
      </c>
      <c r="H96" s="392">
        <f t="shared" si="13"/>
        <v>0</v>
      </c>
      <c r="I96" s="393"/>
    </row>
    <row r="97" spans="1:9" ht="43.5" customHeight="1">
      <c r="A97" s="2639"/>
      <c r="B97" s="2644"/>
      <c r="C97" s="532" t="s">
        <v>304</v>
      </c>
      <c r="D97" s="2703"/>
      <c r="E97" s="411">
        <v>0</v>
      </c>
      <c r="F97" s="392">
        <v>18789506</v>
      </c>
      <c r="G97" s="392">
        <v>-2514478</v>
      </c>
      <c r="H97" s="392">
        <f t="shared" si="13"/>
        <v>16275028</v>
      </c>
      <c r="I97" s="393"/>
    </row>
    <row r="98" spans="1:9" ht="57" hidden="1" customHeight="1">
      <c r="A98" s="2639"/>
      <c r="B98" s="2644"/>
      <c r="C98" s="532" t="s">
        <v>305</v>
      </c>
      <c r="D98" s="534">
        <v>6280</v>
      </c>
      <c r="E98" s="411">
        <v>90000</v>
      </c>
      <c r="F98" s="392">
        <v>0</v>
      </c>
      <c r="G98" s="392"/>
      <c r="H98" s="392">
        <f t="shared" si="13"/>
        <v>0</v>
      </c>
      <c r="I98" s="393">
        <f t="shared" si="14"/>
        <v>0</v>
      </c>
    </row>
    <row r="99" spans="1:9" ht="38.25" customHeight="1" thickBot="1">
      <c r="A99" s="2639"/>
      <c r="B99" s="2644"/>
      <c r="C99" s="2704" t="s">
        <v>306</v>
      </c>
      <c r="D99" s="410">
        <v>6300</v>
      </c>
      <c r="E99" s="392">
        <v>11668487</v>
      </c>
      <c r="F99" s="392">
        <v>6321017</v>
      </c>
      <c r="G99" s="392">
        <f>1347099+4224560</f>
        <v>5571659</v>
      </c>
      <c r="H99" s="392">
        <f>F99+G99</f>
        <v>11892676</v>
      </c>
      <c r="I99" s="393">
        <f t="shared" si="14"/>
        <v>1.0192132021915095</v>
      </c>
    </row>
    <row r="100" spans="1:9" ht="20.25" hidden="1" customHeight="1" thickBot="1">
      <c r="A100" s="2639"/>
      <c r="B100" s="2698"/>
      <c r="C100" s="2705"/>
      <c r="D100" s="410">
        <v>6309</v>
      </c>
      <c r="E100" s="392">
        <v>5985769</v>
      </c>
      <c r="F100" s="392">
        <v>0</v>
      </c>
      <c r="G100" s="392"/>
      <c r="H100" s="392">
        <f t="shared" si="13"/>
        <v>0</v>
      </c>
      <c r="I100" s="393">
        <f t="shared" si="14"/>
        <v>0</v>
      </c>
    </row>
    <row r="101" spans="1:9" ht="15.75" thickBot="1">
      <c r="A101" s="2639"/>
      <c r="B101" s="535">
        <v>60095</v>
      </c>
      <c r="C101" s="536" t="s">
        <v>254</v>
      </c>
      <c r="D101" s="537"/>
      <c r="E101" s="538">
        <f>SUM(E102,E106)</f>
        <v>194571</v>
      </c>
      <c r="F101" s="538">
        <f>SUM(F102,F106)</f>
        <v>154150</v>
      </c>
      <c r="G101" s="538">
        <f>G102+G106</f>
        <v>15737</v>
      </c>
      <c r="H101" s="538">
        <f t="shared" si="13"/>
        <v>169887</v>
      </c>
      <c r="I101" s="539">
        <f t="shared" si="14"/>
        <v>0.87313628444115521</v>
      </c>
    </row>
    <row r="102" spans="1:9">
      <c r="A102" s="2639"/>
      <c r="B102" s="2660" t="s">
        <v>231</v>
      </c>
      <c r="C102" s="2692"/>
      <c r="D102" s="540"/>
      <c r="E102" s="541">
        <f>SUM(E103:E105)</f>
        <v>194571</v>
      </c>
      <c r="F102" s="541">
        <f>SUM(F103:F105)</f>
        <v>154150</v>
      </c>
      <c r="G102" s="541">
        <f>G103+G104+G105</f>
        <v>15737</v>
      </c>
      <c r="H102" s="541">
        <f t="shared" si="13"/>
        <v>169887</v>
      </c>
      <c r="I102" s="542">
        <f t="shared" si="14"/>
        <v>0.87313628444115521</v>
      </c>
    </row>
    <row r="103" spans="1:9" ht="59.25" customHeight="1">
      <c r="A103" s="2639"/>
      <c r="B103" s="2693"/>
      <c r="C103" s="543" t="s">
        <v>307</v>
      </c>
      <c r="D103" s="544" t="s">
        <v>251</v>
      </c>
      <c r="E103" s="392">
        <v>2150</v>
      </c>
      <c r="F103" s="392">
        <v>2150</v>
      </c>
      <c r="G103" s="392"/>
      <c r="H103" s="392">
        <f t="shared" si="13"/>
        <v>2150</v>
      </c>
      <c r="I103" s="393">
        <f t="shared" si="14"/>
        <v>1</v>
      </c>
    </row>
    <row r="104" spans="1:9" ht="38.25">
      <c r="A104" s="2639"/>
      <c r="B104" s="2694"/>
      <c r="C104" s="543" t="s">
        <v>240</v>
      </c>
      <c r="D104" s="545">
        <v>2210</v>
      </c>
      <c r="E104" s="392">
        <v>189000</v>
      </c>
      <c r="F104" s="392">
        <f>80000+69000</f>
        <v>149000</v>
      </c>
      <c r="G104" s="392">
        <v>14000</v>
      </c>
      <c r="H104" s="392">
        <f t="shared" si="13"/>
        <v>163000</v>
      </c>
      <c r="I104" s="393">
        <f t="shared" si="14"/>
        <v>0.86243386243386244</v>
      </c>
    </row>
    <row r="105" spans="1:9" ht="38.25">
      <c r="A105" s="2639"/>
      <c r="B105" s="2694"/>
      <c r="C105" s="546" t="s">
        <v>241</v>
      </c>
      <c r="D105" s="547">
        <v>2360</v>
      </c>
      <c r="E105" s="392">
        <v>3421</v>
      </c>
      <c r="F105" s="392">
        <v>3000</v>
      </c>
      <c r="G105" s="392">
        <v>1737</v>
      </c>
      <c r="H105" s="392">
        <f t="shared" si="13"/>
        <v>4737</v>
      </c>
      <c r="I105" s="393">
        <f t="shared" si="14"/>
        <v>1.3846828412744812</v>
      </c>
    </row>
    <row r="106" spans="1:9" ht="15.75" thickBot="1">
      <c r="A106" s="2640"/>
      <c r="B106" s="2646" t="s">
        <v>235</v>
      </c>
      <c r="C106" s="2695"/>
      <c r="D106" s="548"/>
      <c r="E106" s="396">
        <v>0</v>
      </c>
      <c r="F106" s="396">
        <v>0</v>
      </c>
      <c r="G106" s="396">
        <v>0</v>
      </c>
      <c r="H106" s="396">
        <f t="shared" si="13"/>
        <v>0</v>
      </c>
      <c r="I106" s="397"/>
    </row>
    <row r="107" spans="1:9" ht="15.75" thickBot="1">
      <c r="A107" s="549">
        <v>630</v>
      </c>
      <c r="B107" s="550"/>
      <c r="C107" s="551" t="s">
        <v>308</v>
      </c>
      <c r="D107" s="552"/>
      <c r="E107" s="381">
        <f t="shared" ref="E107:F107" si="15">E108+E112</f>
        <v>34000</v>
      </c>
      <c r="F107" s="381">
        <f t="shared" si="15"/>
        <v>83370</v>
      </c>
      <c r="G107" s="381">
        <f>G112</f>
        <v>1000</v>
      </c>
      <c r="H107" s="381">
        <f t="shared" si="13"/>
        <v>84370</v>
      </c>
      <c r="I107" s="382">
        <f t="shared" si="14"/>
        <v>2.4814705882352941</v>
      </c>
    </row>
    <row r="108" spans="1:9" ht="15.75" thickBot="1">
      <c r="A108" s="2638"/>
      <c r="B108" s="535">
        <v>63003</v>
      </c>
      <c r="C108" s="536" t="s">
        <v>309</v>
      </c>
      <c r="D108" s="553"/>
      <c r="E108" s="440">
        <f t="shared" ref="E108:F108" si="16">E109+E111</f>
        <v>0</v>
      </c>
      <c r="F108" s="440">
        <f t="shared" si="16"/>
        <v>49370</v>
      </c>
      <c r="G108" s="440"/>
      <c r="H108" s="440">
        <f t="shared" si="13"/>
        <v>49370</v>
      </c>
      <c r="I108" s="441"/>
    </row>
    <row r="109" spans="1:9">
      <c r="A109" s="2639"/>
      <c r="B109" s="2641" t="s">
        <v>231</v>
      </c>
      <c r="C109" s="2665"/>
      <c r="D109" s="554"/>
      <c r="E109" s="541">
        <f t="shared" ref="E109:F109" si="17">E110</f>
        <v>0</v>
      </c>
      <c r="F109" s="541">
        <f t="shared" si="17"/>
        <v>49370</v>
      </c>
      <c r="G109" s="541"/>
      <c r="H109" s="541">
        <f t="shared" si="13"/>
        <v>49370</v>
      </c>
      <c r="I109" s="542"/>
    </row>
    <row r="110" spans="1:9" ht="64.5" customHeight="1">
      <c r="A110" s="2639"/>
      <c r="B110" s="555"/>
      <c r="C110" s="556" t="s">
        <v>310</v>
      </c>
      <c r="D110" s="557">
        <v>2058</v>
      </c>
      <c r="E110" s="392">
        <v>0</v>
      </c>
      <c r="F110" s="392">
        <v>49370</v>
      </c>
      <c r="G110" s="392"/>
      <c r="H110" s="392">
        <f t="shared" si="13"/>
        <v>49370</v>
      </c>
      <c r="I110" s="393"/>
    </row>
    <row r="111" spans="1:9" ht="15.75" thickBot="1">
      <c r="A111" s="2639"/>
      <c r="B111" s="2649" t="s">
        <v>235</v>
      </c>
      <c r="C111" s="2675"/>
      <c r="D111" s="486"/>
      <c r="E111" s="415">
        <v>0</v>
      </c>
      <c r="F111" s="415">
        <v>0</v>
      </c>
      <c r="G111" s="415"/>
      <c r="H111" s="415">
        <f t="shared" si="13"/>
        <v>0</v>
      </c>
      <c r="I111" s="416"/>
    </row>
    <row r="112" spans="1:9" ht="15.75" thickBot="1">
      <c r="A112" s="2639"/>
      <c r="B112" s="535">
        <v>63095</v>
      </c>
      <c r="C112" s="536" t="s">
        <v>254</v>
      </c>
      <c r="D112" s="553"/>
      <c r="E112" s="440">
        <f>E113+E115</f>
        <v>34000</v>
      </c>
      <c r="F112" s="440">
        <f>F113+F115</f>
        <v>34000</v>
      </c>
      <c r="G112" s="440">
        <f>G113+G115</f>
        <v>1000</v>
      </c>
      <c r="H112" s="440">
        <f t="shared" si="13"/>
        <v>35000</v>
      </c>
      <c r="I112" s="441">
        <f t="shared" si="14"/>
        <v>1.0294117647058822</v>
      </c>
    </row>
    <row r="113" spans="1:9">
      <c r="A113" s="2639"/>
      <c r="B113" s="2641" t="s">
        <v>231</v>
      </c>
      <c r="C113" s="2665"/>
      <c r="D113" s="554"/>
      <c r="E113" s="541">
        <f t="shared" ref="E113:F113" si="18">E114</f>
        <v>34000</v>
      </c>
      <c r="F113" s="541">
        <f t="shared" si="18"/>
        <v>34000</v>
      </c>
      <c r="G113" s="541">
        <f>G114</f>
        <v>1000</v>
      </c>
      <c r="H113" s="541">
        <f t="shared" si="13"/>
        <v>35000</v>
      </c>
      <c r="I113" s="542">
        <f t="shared" si="14"/>
        <v>1.0294117647058822</v>
      </c>
    </row>
    <row r="114" spans="1:9" ht="41.25" customHeight="1">
      <c r="A114" s="2639"/>
      <c r="B114" s="555"/>
      <c r="C114" s="556" t="s">
        <v>240</v>
      </c>
      <c r="D114" s="557">
        <v>2210</v>
      </c>
      <c r="E114" s="392">
        <v>34000</v>
      </c>
      <c r="F114" s="392">
        <v>34000</v>
      </c>
      <c r="G114" s="392">
        <v>1000</v>
      </c>
      <c r="H114" s="392">
        <f t="shared" si="13"/>
        <v>35000</v>
      </c>
      <c r="I114" s="393">
        <f t="shared" si="14"/>
        <v>1.0294117647058822</v>
      </c>
    </row>
    <row r="115" spans="1:9" ht="15.75" thickBot="1">
      <c r="A115" s="2640"/>
      <c r="B115" s="2649" t="s">
        <v>235</v>
      </c>
      <c r="C115" s="2675"/>
      <c r="D115" s="558"/>
      <c r="E115" s="415">
        <v>0</v>
      </c>
      <c r="F115" s="415">
        <v>0</v>
      </c>
      <c r="G115" s="415">
        <v>0</v>
      </c>
      <c r="H115" s="415">
        <f t="shared" si="13"/>
        <v>0</v>
      </c>
      <c r="I115" s="416"/>
    </row>
    <row r="116" spans="1:9" ht="15.75" thickBot="1">
      <c r="A116" s="549">
        <v>700</v>
      </c>
      <c r="B116" s="550"/>
      <c r="C116" s="551" t="s">
        <v>189</v>
      </c>
      <c r="D116" s="559"/>
      <c r="E116" s="381">
        <f t="shared" ref="E116:F116" si="19">SUM(E117)</f>
        <v>11129189</v>
      </c>
      <c r="F116" s="381">
        <f t="shared" si="19"/>
        <v>4973700</v>
      </c>
      <c r="G116" s="381"/>
      <c r="H116" s="381">
        <f t="shared" si="13"/>
        <v>4973700</v>
      </c>
      <c r="I116" s="382">
        <f t="shared" si="14"/>
        <v>0.44690587966472667</v>
      </c>
    </row>
    <row r="117" spans="1:9" ht="15.75" thickBot="1">
      <c r="A117" s="2688"/>
      <c r="B117" s="496">
        <v>70005</v>
      </c>
      <c r="C117" s="421" t="s">
        <v>190</v>
      </c>
      <c r="D117" s="400"/>
      <c r="E117" s="440">
        <f>SUM(E118,E122)</f>
        <v>11129189</v>
      </c>
      <c r="F117" s="440">
        <f>SUM(F118,F122)</f>
        <v>4973700</v>
      </c>
      <c r="G117" s="440"/>
      <c r="H117" s="440">
        <f t="shared" si="13"/>
        <v>4973700</v>
      </c>
      <c r="I117" s="441">
        <f t="shared" si="14"/>
        <v>0.44690587966472667</v>
      </c>
    </row>
    <row r="118" spans="1:9">
      <c r="A118" s="2689"/>
      <c r="B118" s="2649" t="s">
        <v>231</v>
      </c>
      <c r="C118" s="2676"/>
      <c r="D118" s="560"/>
      <c r="E118" s="561">
        <f>SUM(E119:E121)</f>
        <v>327000</v>
      </c>
      <c r="F118" s="561">
        <f>SUM(F119:F121)</f>
        <v>312000</v>
      </c>
      <c r="G118" s="561"/>
      <c r="H118" s="561">
        <f t="shared" si="13"/>
        <v>312000</v>
      </c>
      <c r="I118" s="562">
        <f t="shared" si="14"/>
        <v>0.95412844036697253</v>
      </c>
    </row>
    <row r="119" spans="1:9" ht="21" customHeight="1">
      <c r="A119" s="2689"/>
      <c r="B119" s="2690"/>
      <c r="C119" s="563" t="s">
        <v>311</v>
      </c>
      <c r="D119" s="521" t="s">
        <v>312</v>
      </c>
      <c r="E119" s="445">
        <v>300000</v>
      </c>
      <c r="F119" s="445">
        <v>285000</v>
      </c>
      <c r="G119" s="445"/>
      <c r="H119" s="445">
        <f t="shared" si="13"/>
        <v>285000</v>
      </c>
      <c r="I119" s="446">
        <f t="shared" si="14"/>
        <v>0.95</v>
      </c>
    </row>
    <row r="120" spans="1:9" ht="19.5" customHeight="1">
      <c r="A120" s="2689"/>
      <c r="B120" s="2689"/>
      <c r="C120" s="564" t="s">
        <v>313</v>
      </c>
      <c r="D120" s="435" t="s">
        <v>314</v>
      </c>
      <c r="E120" s="392">
        <v>21000</v>
      </c>
      <c r="F120" s="392">
        <v>21000</v>
      </c>
      <c r="G120" s="392"/>
      <c r="H120" s="392">
        <f t="shared" si="13"/>
        <v>21000</v>
      </c>
      <c r="I120" s="393">
        <f t="shared" si="14"/>
        <v>1</v>
      </c>
    </row>
    <row r="121" spans="1:9" ht="21" customHeight="1">
      <c r="A121" s="2689"/>
      <c r="B121" s="2689"/>
      <c r="C121" s="563" t="s">
        <v>315</v>
      </c>
      <c r="D121" s="521" t="s">
        <v>276</v>
      </c>
      <c r="E121" s="392">
        <v>6000</v>
      </c>
      <c r="F121" s="392">
        <v>6000</v>
      </c>
      <c r="G121" s="392"/>
      <c r="H121" s="392">
        <f t="shared" si="13"/>
        <v>6000</v>
      </c>
      <c r="I121" s="393">
        <f t="shared" si="14"/>
        <v>1</v>
      </c>
    </row>
    <row r="122" spans="1:9">
      <c r="A122" s="2689"/>
      <c r="B122" s="2691" t="s">
        <v>242</v>
      </c>
      <c r="C122" s="2675"/>
      <c r="D122" s="560"/>
      <c r="E122" s="415">
        <f>SUM(E123:E124)</f>
        <v>10802189</v>
      </c>
      <c r="F122" s="415">
        <f>SUM(F123:F124)</f>
        <v>4661700</v>
      </c>
      <c r="G122" s="415"/>
      <c r="H122" s="415">
        <f t="shared" si="13"/>
        <v>4661700</v>
      </c>
      <c r="I122" s="416">
        <f t="shared" si="14"/>
        <v>0.43155141980944789</v>
      </c>
    </row>
    <row r="123" spans="1:9" s="514" customFormat="1" ht="30.75" customHeight="1">
      <c r="A123" s="2689"/>
      <c r="B123" s="2643"/>
      <c r="C123" s="425" t="s">
        <v>316</v>
      </c>
      <c r="D123" s="527" t="s">
        <v>317</v>
      </c>
      <c r="E123" s="392">
        <v>1700</v>
      </c>
      <c r="F123" s="392">
        <v>1700</v>
      </c>
      <c r="G123" s="392"/>
      <c r="H123" s="392">
        <f t="shared" si="13"/>
        <v>1700</v>
      </c>
      <c r="I123" s="393">
        <f t="shared" si="14"/>
        <v>1</v>
      </c>
    </row>
    <row r="124" spans="1:9" ht="268.5" customHeight="1" thickBot="1">
      <c r="A124" s="2689"/>
      <c r="B124" s="2644"/>
      <c r="C124" s="565" t="s">
        <v>318</v>
      </c>
      <c r="D124" s="566" t="s">
        <v>319</v>
      </c>
      <c r="E124" s="445">
        <v>10800489</v>
      </c>
      <c r="F124" s="445">
        <v>4660000</v>
      </c>
      <c r="G124" s="445"/>
      <c r="H124" s="445">
        <f t="shared" si="13"/>
        <v>4660000</v>
      </c>
      <c r="I124" s="446">
        <f t="shared" si="14"/>
        <v>0.43146194584337799</v>
      </c>
    </row>
    <row r="125" spans="1:9" ht="15.75" thickBot="1">
      <c r="A125" s="549">
        <v>710</v>
      </c>
      <c r="B125" s="567"/>
      <c r="C125" s="551" t="s">
        <v>320</v>
      </c>
      <c r="D125" s="568"/>
      <c r="E125" s="381">
        <f>SUM(E126,E131,E135,E144)</f>
        <v>717513</v>
      </c>
      <c r="F125" s="381">
        <f>SUM(F126,F131,F135,F144)</f>
        <v>514135</v>
      </c>
      <c r="G125" s="381">
        <f>G131+G135</f>
        <v>361618</v>
      </c>
      <c r="H125" s="381">
        <f t="shared" si="13"/>
        <v>875753</v>
      </c>
      <c r="I125" s="382">
        <f t="shared" si="14"/>
        <v>1.2205395581682841</v>
      </c>
    </row>
    <row r="126" spans="1:9" ht="15.75" thickBot="1">
      <c r="A126" s="2638"/>
      <c r="B126" s="526">
        <v>71003</v>
      </c>
      <c r="C126" s="421" t="s">
        <v>321</v>
      </c>
      <c r="D126" s="400"/>
      <c r="E126" s="386">
        <f>SUM(E127,E130)</f>
        <v>40000</v>
      </c>
      <c r="F126" s="386">
        <f>SUM(F127,F130)</f>
        <v>29550</v>
      </c>
      <c r="G126" s="386"/>
      <c r="H126" s="386">
        <f t="shared" si="13"/>
        <v>29550</v>
      </c>
      <c r="I126" s="387">
        <f t="shared" si="14"/>
        <v>0.73875000000000002</v>
      </c>
    </row>
    <row r="127" spans="1:9">
      <c r="A127" s="2639"/>
      <c r="B127" s="2648" t="s">
        <v>231</v>
      </c>
      <c r="C127" s="2676"/>
      <c r="D127" s="560"/>
      <c r="E127" s="389">
        <f>SUM(E128:E129)</f>
        <v>40000</v>
      </c>
      <c r="F127" s="389">
        <f>SUM(F128:F129)</f>
        <v>29550</v>
      </c>
      <c r="G127" s="389"/>
      <c r="H127" s="389">
        <f t="shared" si="13"/>
        <v>29550</v>
      </c>
      <c r="I127" s="390">
        <f t="shared" si="14"/>
        <v>0.73875000000000002</v>
      </c>
    </row>
    <row r="128" spans="1:9" ht="17.25" customHeight="1">
      <c r="A128" s="2639"/>
      <c r="B128" s="2650"/>
      <c r="C128" s="2686" t="s">
        <v>322</v>
      </c>
      <c r="D128" s="435" t="s">
        <v>276</v>
      </c>
      <c r="E128" s="392">
        <v>8400</v>
      </c>
      <c r="F128" s="392">
        <v>3000</v>
      </c>
      <c r="G128" s="392"/>
      <c r="H128" s="392">
        <f t="shared" si="13"/>
        <v>3000</v>
      </c>
      <c r="I128" s="393">
        <f t="shared" si="14"/>
        <v>0.35714285714285715</v>
      </c>
    </row>
    <row r="129" spans="1:9" ht="15" customHeight="1">
      <c r="A129" s="2639"/>
      <c r="B129" s="2685"/>
      <c r="C129" s="2687"/>
      <c r="D129" s="569" t="s">
        <v>233</v>
      </c>
      <c r="E129" s="392">
        <v>31600</v>
      </c>
      <c r="F129" s="392">
        <v>26550</v>
      </c>
      <c r="G129" s="392"/>
      <c r="H129" s="392">
        <f t="shared" si="13"/>
        <v>26550</v>
      </c>
      <c r="I129" s="393">
        <f t="shared" si="14"/>
        <v>0.84018987341772156</v>
      </c>
    </row>
    <row r="130" spans="1:9" ht="15.75" thickBot="1">
      <c r="A130" s="2639"/>
      <c r="B130" s="2646" t="s">
        <v>235</v>
      </c>
      <c r="C130" s="2647"/>
      <c r="D130" s="522"/>
      <c r="E130" s="470">
        <v>0</v>
      </c>
      <c r="F130" s="470">
        <v>0</v>
      </c>
      <c r="G130" s="470"/>
      <c r="H130" s="470">
        <f t="shared" si="13"/>
        <v>0</v>
      </c>
      <c r="I130" s="471"/>
    </row>
    <row r="131" spans="1:9" ht="15.75" thickBot="1">
      <c r="A131" s="2639"/>
      <c r="B131" s="496">
        <v>71005</v>
      </c>
      <c r="C131" s="421" t="s">
        <v>323</v>
      </c>
      <c r="D131" s="400"/>
      <c r="E131" s="386">
        <f t="shared" ref="E131:F131" si="20">SUM(E134,E132)</f>
        <v>737</v>
      </c>
      <c r="F131" s="386">
        <f t="shared" si="20"/>
        <v>435</v>
      </c>
      <c r="G131" s="386">
        <f>G132+G134</f>
        <v>-14</v>
      </c>
      <c r="H131" s="386">
        <f t="shared" si="13"/>
        <v>421</v>
      </c>
      <c r="I131" s="387">
        <f t="shared" si="14"/>
        <v>0.57123473541383984</v>
      </c>
    </row>
    <row r="132" spans="1:9">
      <c r="A132" s="2639"/>
      <c r="B132" s="2649" t="s">
        <v>231</v>
      </c>
      <c r="C132" s="2676"/>
      <c r="D132" s="560"/>
      <c r="E132" s="389">
        <f t="shared" ref="E132:F132" si="21">SUM(E133)</f>
        <v>737</v>
      </c>
      <c r="F132" s="389">
        <f t="shared" si="21"/>
        <v>435</v>
      </c>
      <c r="G132" s="389">
        <f>G133</f>
        <v>-14</v>
      </c>
      <c r="H132" s="389">
        <f t="shared" si="13"/>
        <v>421</v>
      </c>
      <c r="I132" s="390">
        <f t="shared" si="14"/>
        <v>0.57123473541383984</v>
      </c>
    </row>
    <row r="133" spans="1:9" ht="38.25">
      <c r="A133" s="2639"/>
      <c r="B133" s="570"/>
      <c r="C133" s="434" t="s">
        <v>241</v>
      </c>
      <c r="D133" s="571">
        <v>2360</v>
      </c>
      <c r="E133" s="392">
        <v>737</v>
      </c>
      <c r="F133" s="392">
        <v>435</v>
      </c>
      <c r="G133" s="392">
        <v>-14</v>
      </c>
      <c r="H133" s="392">
        <f t="shared" si="13"/>
        <v>421</v>
      </c>
      <c r="I133" s="393">
        <f t="shared" si="14"/>
        <v>0.57123473541383984</v>
      </c>
    </row>
    <row r="134" spans="1:9" ht="15.75" thickBot="1">
      <c r="A134" s="2639"/>
      <c r="B134" s="2646" t="s">
        <v>235</v>
      </c>
      <c r="C134" s="2647"/>
      <c r="D134" s="448"/>
      <c r="E134" s="396">
        <v>0</v>
      </c>
      <c r="F134" s="396">
        <v>0</v>
      </c>
      <c r="G134" s="396">
        <v>0</v>
      </c>
      <c r="H134" s="396">
        <f t="shared" si="13"/>
        <v>0</v>
      </c>
      <c r="I134" s="397"/>
    </row>
    <row r="135" spans="1:9" ht="15.75" thickBot="1">
      <c r="A135" s="2639"/>
      <c r="B135" s="572">
        <v>71012</v>
      </c>
      <c r="C135" s="421" t="s">
        <v>324</v>
      </c>
      <c r="D135" s="400"/>
      <c r="E135" s="386">
        <f t="shared" ref="E135:F135" si="22">SUM(E136,E143)</f>
        <v>676776</v>
      </c>
      <c r="F135" s="386">
        <f t="shared" si="22"/>
        <v>484150</v>
      </c>
      <c r="G135" s="386">
        <f>G136+G143</f>
        <v>361632</v>
      </c>
      <c r="H135" s="386">
        <f t="shared" si="13"/>
        <v>845782</v>
      </c>
      <c r="I135" s="387">
        <f t="shared" si="14"/>
        <v>1.2497222123715972</v>
      </c>
    </row>
    <row r="136" spans="1:9">
      <c r="A136" s="2639"/>
      <c r="B136" s="2649" t="s">
        <v>231</v>
      </c>
      <c r="C136" s="2676"/>
      <c r="D136" s="560"/>
      <c r="E136" s="389">
        <f t="shared" ref="E136:F136" si="23">SUM(E137:E142)</f>
        <v>676776</v>
      </c>
      <c r="F136" s="389">
        <f t="shared" si="23"/>
        <v>484150</v>
      </c>
      <c r="G136" s="389">
        <f>SUM(G137:G142)</f>
        <v>361632</v>
      </c>
      <c r="H136" s="389">
        <f t="shared" si="13"/>
        <v>845782</v>
      </c>
      <c r="I136" s="390">
        <f t="shared" si="14"/>
        <v>1.2497222123715972</v>
      </c>
    </row>
    <row r="137" spans="1:9" ht="25.5" customHeight="1">
      <c r="A137" s="2639"/>
      <c r="B137" s="2650"/>
      <c r="C137" s="2627" t="s">
        <v>325</v>
      </c>
      <c r="D137" s="569" t="s">
        <v>251</v>
      </c>
      <c r="E137" s="392">
        <v>9000</v>
      </c>
      <c r="F137" s="392">
        <v>9000</v>
      </c>
      <c r="G137" s="392"/>
      <c r="H137" s="392">
        <f t="shared" si="13"/>
        <v>9000</v>
      </c>
      <c r="I137" s="393">
        <f t="shared" si="14"/>
        <v>1</v>
      </c>
    </row>
    <row r="138" spans="1:9" ht="68.25" hidden="1" customHeight="1">
      <c r="A138" s="2639"/>
      <c r="B138" s="2685"/>
      <c r="C138" s="2628"/>
      <c r="D138" s="435" t="s">
        <v>326</v>
      </c>
      <c r="E138" s="392">
        <v>5000</v>
      </c>
      <c r="F138" s="392">
        <v>0</v>
      </c>
      <c r="G138" s="392"/>
      <c r="H138" s="392">
        <f t="shared" ref="H138:H201" si="24">F138+G138</f>
        <v>0</v>
      </c>
      <c r="I138" s="393">
        <f t="shared" si="14"/>
        <v>0</v>
      </c>
    </row>
    <row r="139" spans="1:9" ht="18" customHeight="1">
      <c r="A139" s="2639"/>
      <c r="B139" s="2685"/>
      <c r="C139" s="2629"/>
      <c r="D139" s="435" t="s">
        <v>234</v>
      </c>
      <c r="E139" s="392">
        <v>130</v>
      </c>
      <c r="F139" s="392">
        <v>150</v>
      </c>
      <c r="G139" s="392"/>
      <c r="H139" s="392">
        <f t="shared" si="24"/>
        <v>150</v>
      </c>
      <c r="I139" s="393">
        <f t="shared" ref="I139:I202" si="25">H139/E139</f>
        <v>1.1538461538461537</v>
      </c>
    </row>
    <row r="140" spans="1:9" ht="53.25" customHeight="1">
      <c r="A140" s="2639"/>
      <c r="B140" s="2685"/>
      <c r="C140" s="573" t="s">
        <v>327</v>
      </c>
      <c r="D140" s="435" t="s">
        <v>328</v>
      </c>
      <c r="E140" s="392">
        <v>87646</v>
      </c>
      <c r="F140" s="392">
        <v>0</v>
      </c>
      <c r="G140" s="392">
        <v>339632</v>
      </c>
      <c r="H140" s="392">
        <f t="shared" si="24"/>
        <v>339632</v>
      </c>
      <c r="I140" s="393">
        <f t="shared" si="25"/>
        <v>3.875042785751774</v>
      </c>
    </row>
    <row r="141" spans="1:9" ht="42.75" customHeight="1">
      <c r="A141" s="2639"/>
      <c r="B141" s="2685"/>
      <c r="C141" s="434" t="s">
        <v>240</v>
      </c>
      <c r="D141" s="435" t="s">
        <v>329</v>
      </c>
      <c r="E141" s="392">
        <v>475000</v>
      </c>
      <c r="F141" s="392">
        <f>388000+87000</f>
        <v>475000</v>
      </c>
      <c r="G141" s="392">
        <v>22000</v>
      </c>
      <c r="H141" s="392">
        <f t="shared" si="24"/>
        <v>497000</v>
      </c>
      <c r="I141" s="393">
        <f t="shared" si="25"/>
        <v>1.0463157894736843</v>
      </c>
    </row>
    <row r="142" spans="1:9" ht="67.5" hidden="1" customHeight="1">
      <c r="A142" s="2639"/>
      <c r="B142" s="2651"/>
      <c r="C142" s="574" t="s">
        <v>330</v>
      </c>
      <c r="D142" s="521" t="s">
        <v>331</v>
      </c>
      <c r="E142" s="392">
        <v>100000</v>
      </c>
      <c r="F142" s="392">
        <v>0</v>
      </c>
      <c r="G142" s="392"/>
      <c r="H142" s="392">
        <f t="shared" si="24"/>
        <v>0</v>
      </c>
      <c r="I142" s="393">
        <f t="shared" si="25"/>
        <v>0</v>
      </c>
    </row>
    <row r="143" spans="1:9" ht="16.5" customHeight="1" thickBot="1">
      <c r="A143" s="2639"/>
      <c r="B143" s="2683" t="s">
        <v>235</v>
      </c>
      <c r="C143" s="2684"/>
      <c r="D143" s="575"/>
      <c r="E143" s="477">
        <v>0</v>
      </c>
      <c r="F143" s="477">
        <v>0</v>
      </c>
      <c r="G143" s="477"/>
      <c r="H143" s="477">
        <f t="shared" si="24"/>
        <v>0</v>
      </c>
      <c r="I143" s="478"/>
    </row>
    <row r="144" spans="1:9" ht="15.75" hidden="1" thickBot="1">
      <c r="A144" s="2639"/>
      <c r="B144" s="526">
        <v>71095</v>
      </c>
      <c r="C144" s="384" t="s">
        <v>254</v>
      </c>
      <c r="D144" s="385"/>
      <c r="E144" s="440">
        <f t="shared" ref="E144:F144" si="26">SUM(E145,E147)</f>
        <v>0</v>
      </c>
      <c r="F144" s="440">
        <f t="shared" si="26"/>
        <v>0</v>
      </c>
      <c r="G144" s="440"/>
      <c r="H144" s="440">
        <f t="shared" si="24"/>
        <v>0</v>
      </c>
      <c r="I144" s="441"/>
    </row>
    <row r="145" spans="1:9" ht="15.75" hidden="1" thickBot="1">
      <c r="A145" s="2639"/>
      <c r="B145" s="2648" t="s">
        <v>231</v>
      </c>
      <c r="C145" s="2676"/>
      <c r="D145" s="560"/>
      <c r="E145" s="389">
        <f t="shared" ref="E145:F145" si="27">SUM(E146)</f>
        <v>0</v>
      </c>
      <c r="F145" s="389">
        <f t="shared" si="27"/>
        <v>0</v>
      </c>
      <c r="G145" s="389"/>
      <c r="H145" s="389">
        <f t="shared" si="24"/>
        <v>0</v>
      </c>
      <c r="I145" s="390"/>
    </row>
    <row r="146" spans="1:9" ht="39" hidden="1" thickBot="1">
      <c r="A146" s="2639"/>
      <c r="B146" s="576"/>
      <c r="C146" s="577" t="s">
        <v>240</v>
      </c>
      <c r="D146" s="578">
        <v>2210</v>
      </c>
      <c r="E146" s="392">
        <v>0</v>
      </c>
      <c r="F146" s="392">
        <v>0</v>
      </c>
      <c r="G146" s="392"/>
      <c r="H146" s="392">
        <f t="shared" si="24"/>
        <v>0</v>
      </c>
      <c r="I146" s="393"/>
    </row>
    <row r="147" spans="1:9" ht="15.75" hidden="1" thickBot="1">
      <c r="A147" s="2639"/>
      <c r="B147" s="2657" t="s">
        <v>235</v>
      </c>
      <c r="C147" s="2675"/>
      <c r="D147" s="579"/>
      <c r="E147" s="458">
        <v>0</v>
      </c>
      <c r="F147" s="458">
        <v>0</v>
      </c>
      <c r="G147" s="458"/>
      <c r="H147" s="458">
        <f t="shared" si="24"/>
        <v>0</v>
      </c>
      <c r="I147" s="459"/>
    </row>
    <row r="148" spans="1:9" s="583" customFormat="1" ht="17.25" customHeight="1" thickBot="1">
      <c r="A148" s="493">
        <v>720</v>
      </c>
      <c r="B148" s="580"/>
      <c r="C148" s="581" t="s">
        <v>332</v>
      </c>
      <c r="D148" s="582"/>
      <c r="E148" s="463">
        <f t="shared" ref="E148:F148" si="28">SUM(E149)</f>
        <v>5000000</v>
      </c>
      <c r="F148" s="463">
        <f t="shared" si="28"/>
        <v>4500000</v>
      </c>
      <c r="G148" s="463"/>
      <c r="H148" s="463">
        <f t="shared" si="24"/>
        <v>4500000</v>
      </c>
      <c r="I148" s="464">
        <f t="shared" si="25"/>
        <v>0.9</v>
      </c>
    </row>
    <row r="149" spans="1:9" ht="15.75" thickBot="1">
      <c r="A149" s="2638"/>
      <c r="B149" s="584">
        <v>72095</v>
      </c>
      <c r="C149" s="421" t="s">
        <v>254</v>
      </c>
      <c r="D149" s="400"/>
      <c r="E149" s="386">
        <f>SUM(E150,E152)</f>
        <v>5000000</v>
      </c>
      <c r="F149" s="386">
        <f>SUM(F150,F152)</f>
        <v>4500000</v>
      </c>
      <c r="G149" s="386"/>
      <c r="H149" s="386">
        <f t="shared" si="24"/>
        <v>4500000</v>
      </c>
      <c r="I149" s="387">
        <f t="shared" si="25"/>
        <v>0.9</v>
      </c>
    </row>
    <row r="150" spans="1:9">
      <c r="A150" s="2639"/>
      <c r="B150" s="2641" t="s">
        <v>231</v>
      </c>
      <c r="C150" s="2668"/>
      <c r="D150" s="401"/>
      <c r="E150" s="402">
        <f>SUM(E151:E151)</f>
        <v>5000000</v>
      </c>
      <c r="F150" s="402">
        <f>SUM(F151:F151)</f>
        <v>4500000</v>
      </c>
      <c r="G150" s="402"/>
      <c r="H150" s="402">
        <f t="shared" si="24"/>
        <v>4500000</v>
      </c>
      <c r="I150" s="403">
        <f t="shared" si="25"/>
        <v>0.9</v>
      </c>
    </row>
    <row r="151" spans="1:9" ht="42" customHeight="1">
      <c r="A151" s="2639"/>
      <c r="B151" s="585"/>
      <c r="C151" s="586" t="s">
        <v>333</v>
      </c>
      <c r="D151" s="587" t="s">
        <v>234</v>
      </c>
      <c r="E151" s="407">
        <v>5000000</v>
      </c>
      <c r="F151" s="407">
        <v>4500000</v>
      </c>
      <c r="G151" s="407"/>
      <c r="H151" s="407">
        <f t="shared" si="24"/>
        <v>4500000</v>
      </c>
      <c r="I151" s="408">
        <f t="shared" si="25"/>
        <v>0.9</v>
      </c>
    </row>
    <row r="152" spans="1:9" ht="15.75" thickBot="1">
      <c r="A152" s="2639"/>
      <c r="B152" s="2657" t="s">
        <v>235</v>
      </c>
      <c r="C152" s="2675"/>
      <c r="D152" s="588"/>
      <c r="E152" s="415">
        <v>0</v>
      </c>
      <c r="F152" s="415">
        <v>0</v>
      </c>
      <c r="G152" s="415"/>
      <c r="H152" s="415">
        <f t="shared" si="24"/>
        <v>0</v>
      </c>
      <c r="I152" s="416"/>
    </row>
    <row r="153" spans="1:9" ht="15.75" thickBot="1">
      <c r="A153" s="549">
        <v>730</v>
      </c>
      <c r="B153" s="589"/>
      <c r="C153" s="590" t="s">
        <v>334</v>
      </c>
      <c r="D153" s="568"/>
      <c r="E153" s="591">
        <f t="shared" ref="E153:F153" si="29">SUM(E154)</f>
        <v>184455</v>
      </c>
      <c r="F153" s="591">
        <f t="shared" si="29"/>
        <v>191076</v>
      </c>
      <c r="G153" s="591"/>
      <c r="H153" s="591">
        <f t="shared" si="24"/>
        <v>191076</v>
      </c>
      <c r="I153" s="592">
        <f t="shared" si="25"/>
        <v>1.0358949337236725</v>
      </c>
    </row>
    <row r="154" spans="1:9" ht="15.75" thickBot="1">
      <c r="A154" s="2679"/>
      <c r="B154" s="496">
        <v>73095</v>
      </c>
      <c r="C154" s="593" t="s">
        <v>254</v>
      </c>
      <c r="D154" s="400"/>
      <c r="E154" s="386">
        <f>SUM(E155,E159)</f>
        <v>184455</v>
      </c>
      <c r="F154" s="386">
        <f>SUM(F155,F159)</f>
        <v>191076</v>
      </c>
      <c r="G154" s="386"/>
      <c r="H154" s="386">
        <f t="shared" si="24"/>
        <v>191076</v>
      </c>
      <c r="I154" s="387">
        <f t="shared" si="25"/>
        <v>1.0358949337236725</v>
      </c>
    </row>
    <row r="155" spans="1:9">
      <c r="A155" s="2679"/>
      <c r="B155" s="2641" t="s">
        <v>231</v>
      </c>
      <c r="C155" s="2668"/>
      <c r="D155" s="497"/>
      <c r="E155" s="389">
        <f>SUM(E156:E158)</f>
        <v>184455</v>
      </c>
      <c r="F155" s="389">
        <f>SUM(F156:F158)</f>
        <v>191076</v>
      </c>
      <c r="G155" s="389"/>
      <c r="H155" s="389">
        <f t="shared" si="24"/>
        <v>191076</v>
      </c>
      <c r="I155" s="390">
        <f t="shared" si="25"/>
        <v>1.0358949337236725</v>
      </c>
    </row>
    <row r="156" spans="1:9" ht="51" hidden="1">
      <c r="A156" s="2679"/>
      <c r="B156" s="2643"/>
      <c r="C156" s="594" t="s">
        <v>335</v>
      </c>
      <c r="D156" s="405" t="s">
        <v>336</v>
      </c>
      <c r="E156" s="411">
        <v>15</v>
      </c>
      <c r="F156" s="392">
        <v>0</v>
      </c>
      <c r="G156" s="392"/>
      <c r="H156" s="392">
        <f t="shared" si="24"/>
        <v>0</v>
      </c>
      <c r="I156" s="393">
        <f t="shared" si="25"/>
        <v>0</v>
      </c>
    </row>
    <row r="157" spans="1:9" ht="51">
      <c r="A157" s="2679"/>
      <c r="B157" s="2644"/>
      <c r="C157" s="595" t="s">
        <v>337</v>
      </c>
      <c r="D157" s="391" t="s">
        <v>338</v>
      </c>
      <c r="E157" s="411">
        <v>0</v>
      </c>
      <c r="F157" s="392">
        <v>40539</v>
      </c>
      <c r="G157" s="392"/>
      <c r="H157" s="392">
        <f t="shared" si="24"/>
        <v>40539</v>
      </c>
      <c r="I157" s="393"/>
    </row>
    <row r="158" spans="1:9" ht="51" customHeight="1">
      <c r="A158" s="2679"/>
      <c r="B158" s="2645"/>
      <c r="C158" s="595" t="s">
        <v>339</v>
      </c>
      <c r="D158" s="534">
        <v>2058</v>
      </c>
      <c r="E158" s="392">
        <v>184440</v>
      </c>
      <c r="F158" s="392">
        <v>150537</v>
      </c>
      <c r="G158" s="392"/>
      <c r="H158" s="392">
        <f t="shared" si="24"/>
        <v>150537</v>
      </c>
      <c r="I158" s="393">
        <f t="shared" si="25"/>
        <v>0.81618412491867276</v>
      </c>
    </row>
    <row r="159" spans="1:9" ht="15.75" thickBot="1">
      <c r="A159" s="2679"/>
      <c r="B159" s="2680" t="s">
        <v>235</v>
      </c>
      <c r="C159" s="2647"/>
      <c r="D159" s="448"/>
      <c r="E159" s="477">
        <v>0</v>
      </c>
      <c r="F159" s="477">
        <v>0</v>
      </c>
      <c r="G159" s="477"/>
      <c r="H159" s="477">
        <f t="shared" si="24"/>
        <v>0</v>
      </c>
      <c r="I159" s="478"/>
    </row>
    <row r="160" spans="1:9" ht="15.75" thickBot="1">
      <c r="A160" s="549">
        <v>750</v>
      </c>
      <c r="B160" s="589"/>
      <c r="C160" s="590" t="s">
        <v>340</v>
      </c>
      <c r="D160" s="568"/>
      <c r="E160" s="381">
        <f t="shared" ref="E160" si="30">SUM(E161,E166,E177,E182,E196,E200,E191)</f>
        <v>8128296</v>
      </c>
      <c r="F160" s="381">
        <f>SUM(F161,F166,F177,F182,F196,F200,F191)</f>
        <v>5123875</v>
      </c>
      <c r="G160" s="381">
        <f>G161+G196+G200</f>
        <v>2004</v>
      </c>
      <c r="H160" s="381">
        <f t="shared" si="24"/>
        <v>5125879</v>
      </c>
      <c r="I160" s="382">
        <f t="shared" si="25"/>
        <v>0.63062159645760929</v>
      </c>
    </row>
    <row r="161" spans="1:9" ht="15.75" thickBot="1">
      <c r="A161" s="2679"/>
      <c r="B161" s="496">
        <v>75011</v>
      </c>
      <c r="C161" s="593" t="s">
        <v>341</v>
      </c>
      <c r="D161" s="400"/>
      <c r="E161" s="386">
        <f>SUM(E162,E165)</f>
        <v>145290</v>
      </c>
      <c r="F161" s="386">
        <f>SUM(F162,F165)</f>
        <v>145154</v>
      </c>
      <c r="G161" s="386">
        <f>G162+G165</f>
        <v>2004</v>
      </c>
      <c r="H161" s="386">
        <f t="shared" si="24"/>
        <v>147158</v>
      </c>
      <c r="I161" s="387">
        <f t="shared" si="25"/>
        <v>1.0128570445316265</v>
      </c>
    </row>
    <row r="162" spans="1:9">
      <c r="A162" s="2679"/>
      <c r="B162" s="2649" t="s">
        <v>231</v>
      </c>
      <c r="C162" s="2676"/>
      <c r="D162" s="560"/>
      <c r="E162" s="389">
        <f>SUM(E163:E164)</f>
        <v>145290</v>
      </c>
      <c r="F162" s="389">
        <f>SUM(F163:F164)</f>
        <v>145154</v>
      </c>
      <c r="G162" s="389">
        <f>G163+G164</f>
        <v>2004</v>
      </c>
      <c r="H162" s="389">
        <f t="shared" si="24"/>
        <v>147158</v>
      </c>
      <c r="I162" s="390">
        <f t="shared" si="25"/>
        <v>1.0128570445316265</v>
      </c>
    </row>
    <row r="163" spans="1:9" ht="38.25">
      <c r="A163" s="2679"/>
      <c r="B163" s="2681"/>
      <c r="C163" s="595" t="s">
        <v>342</v>
      </c>
      <c r="D163" s="534">
        <v>2210</v>
      </c>
      <c r="E163" s="392">
        <v>145000</v>
      </c>
      <c r="F163" s="392">
        <v>145000</v>
      </c>
      <c r="G163" s="392">
        <v>2000</v>
      </c>
      <c r="H163" s="392">
        <f t="shared" si="24"/>
        <v>147000</v>
      </c>
      <c r="I163" s="393">
        <f t="shared" si="25"/>
        <v>1.0137931034482759</v>
      </c>
    </row>
    <row r="164" spans="1:9" ht="38.25">
      <c r="A164" s="2679"/>
      <c r="B164" s="2682"/>
      <c r="C164" s="565" t="s">
        <v>241</v>
      </c>
      <c r="D164" s="578">
        <v>2360</v>
      </c>
      <c r="E164" s="445">
        <v>290</v>
      </c>
      <c r="F164" s="445">
        <v>154</v>
      </c>
      <c r="G164" s="445">
        <v>4</v>
      </c>
      <c r="H164" s="445">
        <f t="shared" si="24"/>
        <v>158</v>
      </c>
      <c r="I164" s="446">
        <f t="shared" si="25"/>
        <v>0.54482758620689653</v>
      </c>
    </row>
    <row r="165" spans="1:9" ht="15.75" thickBot="1">
      <c r="A165" s="2679"/>
      <c r="B165" s="2646" t="s">
        <v>235</v>
      </c>
      <c r="C165" s="2647"/>
      <c r="D165" s="448"/>
      <c r="E165" s="396">
        <v>0</v>
      </c>
      <c r="F165" s="396">
        <v>0</v>
      </c>
      <c r="G165" s="396"/>
      <c r="H165" s="396">
        <f t="shared" si="24"/>
        <v>0</v>
      </c>
      <c r="I165" s="397"/>
    </row>
    <row r="166" spans="1:9" ht="15.75" thickBot="1">
      <c r="A166" s="2639"/>
      <c r="B166" s="496">
        <v>75018</v>
      </c>
      <c r="C166" s="421" t="s">
        <v>343</v>
      </c>
      <c r="D166" s="400"/>
      <c r="E166" s="386">
        <f>SUM(E167,E176)</f>
        <v>320770</v>
      </c>
      <c r="F166" s="386">
        <f>SUM(F167,F176)</f>
        <v>214000</v>
      </c>
      <c r="G166" s="386"/>
      <c r="H166" s="386">
        <f t="shared" si="24"/>
        <v>214000</v>
      </c>
      <c r="I166" s="387">
        <f t="shared" si="25"/>
        <v>0.6671446831062755</v>
      </c>
    </row>
    <row r="167" spans="1:9">
      <c r="A167" s="2639"/>
      <c r="B167" s="2641" t="s">
        <v>231</v>
      </c>
      <c r="C167" s="2669"/>
      <c r="D167" s="422"/>
      <c r="E167" s="389">
        <f>SUM(E168:E175)</f>
        <v>320770</v>
      </c>
      <c r="F167" s="389">
        <f>SUM(F168:F175)</f>
        <v>214000</v>
      </c>
      <c r="G167" s="389"/>
      <c r="H167" s="389">
        <f t="shared" si="24"/>
        <v>214000</v>
      </c>
      <c r="I167" s="390">
        <f t="shared" si="25"/>
        <v>0.6671446831062755</v>
      </c>
    </row>
    <row r="168" spans="1:9" ht="21" hidden="1" customHeight="1">
      <c r="A168" s="2639"/>
      <c r="B168" s="2643"/>
      <c r="C168" s="2627" t="s">
        <v>344</v>
      </c>
      <c r="D168" s="525" t="s">
        <v>345</v>
      </c>
      <c r="E168" s="481">
        <v>6000</v>
      </c>
      <c r="F168" s="445">
        <v>0</v>
      </c>
      <c r="G168" s="445"/>
      <c r="H168" s="445">
        <f t="shared" si="24"/>
        <v>0</v>
      </c>
      <c r="I168" s="446">
        <f t="shared" si="25"/>
        <v>0</v>
      </c>
    </row>
    <row r="169" spans="1:9" ht="22.5" hidden="1" customHeight="1">
      <c r="A169" s="2639"/>
      <c r="B169" s="2644"/>
      <c r="C169" s="2628"/>
      <c r="D169" s="435" t="s">
        <v>251</v>
      </c>
      <c r="E169" s="392">
        <v>13500</v>
      </c>
      <c r="F169" s="392">
        <v>0</v>
      </c>
      <c r="G169" s="392"/>
      <c r="H169" s="392">
        <f t="shared" si="24"/>
        <v>0</v>
      </c>
      <c r="I169" s="393">
        <f t="shared" si="25"/>
        <v>0</v>
      </c>
    </row>
    <row r="170" spans="1:9" ht="21.75" customHeight="1">
      <c r="A170" s="2639"/>
      <c r="B170" s="2644"/>
      <c r="C170" s="2628"/>
      <c r="D170" s="521" t="s">
        <v>276</v>
      </c>
      <c r="E170" s="392">
        <f>95000+77400</f>
        <v>172400</v>
      </c>
      <c r="F170" s="392">
        <v>50000</v>
      </c>
      <c r="G170" s="392"/>
      <c r="H170" s="392">
        <f t="shared" si="24"/>
        <v>50000</v>
      </c>
      <c r="I170" s="420">
        <f t="shared" si="25"/>
        <v>0.29002320185614849</v>
      </c>
    </row>
    <row r="171" spans="1:9" ht="20.25" customHeight="1">
      <c r="A171" s="2639"/>
      <c r="B171" s="2644"/>
      <c r="C171" s="2628"/>
      <c r="D171" s="435" t="s">
        <v>233</v>
      </c>
      <c r="E171" s="392">
        <f>25000+9370</f>
        <v>34370</v>
      </c>
      <c r="F171" s="392">
        <v>20000</v>
      </c>
      <c r="G171" s="392"/>
      <c r="H171" s="392">
        <f t="shared" si="24"/>
        <v>20000</v>
      </c>
      <c r="I171" s="393">
        <f t="shared" si="25"/>
        <v>0.58190282222868783</v>
      </c>
    </row>
    <row r="172" spans="1:9" ht="18" customHeight="1">
      <c r="A172" s="2639"/>
      <c r="B172" s="2644"/>
      <c r="C172" s="2628"/>
      <c r="D172" s="435" t="s">
        <v>239</v>
      </c>
      <c r="E172" s="392">
        <v>15000</v>
      </c>
      <c r="F172" s="392">
        <v>50000</v>
      </c>
      <c r="G172" s="392"/>
      <c r="H172" s="392">
        <f t="shared" si="24"/>
        <v>50000</v>
      </c>
      <c r="I172" s="393">
        <f t="shared" si="25"/>
        <v>3.3333333333333335</v>
      </c>
    </row>
    <row r="173" spans="1:9" ht="22.5" hidden="1" customHeight="1">
      <c r="A173" s="2639"/>
      <c r="B173" s="2644"/>
      <c r="C173" s="2628"/>
      <c r="D173" s="435" t="s">
        <v>346</v>
      </c>
      <c r="E173" s="392">
        <v>5500</v>
      </c>
      <c r="F173" s="392">
        <v>0</v>
      </c>
      <c r="G173" s="392"/>
      <c r="H173" s="392">
        <f t="shared" si="24"/>
        <v>0</v>
      </c>
      <c r="I173" s="393">
        <f t="shared" si="25"/>
        <v>0</v>
      </c>
    </row>
    <row r="174" spans="1:9" ht="22.5" customHeight="1">
      <c r="A174" s="2639"/>
      <c r="B174" s="2644"/>
      <c r="C174" s="2629"/>
      <c r="D174" s="435" t="s">
        <v>234</v>
      </c>
      <c r="E174" s="392">
        <v>0</v>
      </c>
      <c r="F174" s="392">
        <v>20000</v>
      </c>
      <c r="G174" s="392"/>
      <c r="H174" s="392">
        <f t="shared" si="24"/>
        <v>20000</v>
      </c>
      <c r="I174" s="393"/>
    </row>
    <row r="175" spans="1:9" ht="27" customHeight="1">
      <c r="A175" s="2639"/>
      <c r="B175" s="2645"/>
      <c r="C175" s="563" t="s">
        <v>347</v>
      </c>
      <c r="D175" s="435" t="s">
        <v>294</v>
      </c>
      <c r="E175" s="392">
        <v>74000</v>
      </c>
      <c r="F175" s="392">
        <v>74000</v>
      </c>
      <c r="G175" s="392"/>
      <c r="H175" s="392">
        <f t="shared" si="24"/>
        <v>74000</v>
      </c>
      <c r="I175" s="393">
        <f t="shared" si="25"/>
        <v>1</v>
      </c>
    </row>
    <row r="176" spans="1:9" ht="15.75" thickBot="1">
      <c r="A176" s="2639"/>
      <c r="B176" s="2657" t="s">
        <v>235</v>
      </c>
      <c r="C176" s="2675"/>
      <c r="D176" s="414"/>
      <c r="E176" s="415">
        <v>0</v>
      </c>
      <c r="F176" s="415">
        <v>0</v>
      </c>
      <c r="G176" s="415"/>
      <c r="H176" s="415">
        <f t="shared" si="24"/>
        <v>0</v>
      </c>
      <c r="I176" s="416"/>
    </row>
    <row r="177" spans="1:9" ht="15.75" thickBot="1">
      <c r="A177" s="2639"/>
      <c r="B177" s="496">
        <v>75046</v>
      </c>
      <c r="C177" s="421" t="s">
        <v>348</v>
      </c>
      <c r="D177" s="400"/>
      <c r="E177" s="386">
        <f t="shared" ref="E177:F177" si="31">SUM(E178,E181)</f>
        <v>21053</v>
      </c>
      <c r="F177" s="386">
        <f t="shared" si="31"/>
        <v>21053</v>
      </c>
      <c r="G177" s="386">
        <f>G178+G181</f>
        <v>0</v>
      </c>
      <c r="H177" s="386">
        <f t="shared" si="24"/>
        <v>21053</v>
      </c>
      <c r="I177" s="387">
        <f t="shared" si="25"/>
        <v>1</v>
      </c>
    </row>
    <row r="178" spans="1:9">
      <c r="A178" s="2639"/>
      <c r="B178" s="2649" t="s">
        <v>231</v>
      </c>
      <c r="C178" s="2676"/>
      <c r="D178" s="560"/>
      <c r="E178" s="389">
        <f>SUM(E179:E180)</f>
        <v>21053</v>
      </c>
      <c r="F178" s="389">
        <f>SUM(F179:F180)</f>
        <v>21053</v>
      </c>
      <c r="G178" s="389">
        <f>G179+G180</f>
        <v>0</v>
      </c>
      <c r="H178" s="389">
        <f t="shared" si="24"/>
        <v>21053</v>
      </c>
      <c r="I178" s="390">
        <f t="shared" si="25"/>
        <v>1</v>
      </c>
    </row>
    <row r="179" spans="1:9" ht="38.25">
      <c r="A179" s="2639"/>
      <c r="B179" s="2677"/>
      <c r="C179" s="595" t="s">
        <v>240</v>
      </c>
      <c r="D179" s="534">
        <v>2210</v>
      </c>
      <c r="E179" s="392">
        <v>20000</v>
      </c>
      <c r="F179" s="392">
        <v>20000</v>
      </c>
      <c r="G179" s="392">
        <v>0</v>
      </c>
      <c r="H179" s="392">
        <f t="shared" si="24"/>
        <v>20000</v>
      </c>
      <c r="I179" s="393">
        <f t="shared" si="25"/>
        <v>1</v>
      </c>
    </row>
    <row r="180" spans="1:9" ht="38.25">
      <c r="A180" s="2639"/>
      <c r="B180" s="2678"/>
      <c r="C180" s="565" t="s">
        <v>241</v>
      </c>
      <c r="D180" s="578">
        <v>2360</v>
      </c>
      <c r="E180" s="392">
        <v>1053</v>
      </c>
      <c r="F180" s="392">
        <v>1053</v>
      </c>
      <c r="G180" s="392"/>
      <c r="H180" s="392">
        <f t="shared" si="24"/>
        <v>1053</v>
      </c>
      <c r="I180" s="393">
        <f t="shared" si="25"/>
        <v>1</v>
      </c>
    </row>
    <row r="181" spans="1:9" ht="15.75" thickBot="1">
      <c r="A181" s="2639"/>
      <c r="B181" s="2646" t="s">
        <v>235</v>
      </c>
      <c r="C181" s="2647"/>
      <c r="D181" s="448"/>
      <c r="E181" s="396">
        <v>0</v>
      </c>
      <c r="F181" s="396">
        <v>0</v>
      </c>
      <c r="G181" s="396"/>
      <c r="H181" s="396">
        <f t="shared" si="24"/>
        <v>0</v>
      </c>
      <c r="I181" s="397"/>
    </row>
    <row r="182" spans="1:9" ht="15.75" thickBot="1">
      <c r="A182" s="596"/>
      <c r="B182" s="597">
        <v>75075</v>
      </c>
      <c r="C182" s="598" t="s">
        <v>349</v>
      </c>
      <c r="D182" s="599"/>
      <c r="E182" s="386">
        <f>SUM(E190,E183)</f>
        <v>824553</v>
      </c>
      <c r="F182" s="386">
        <f>SUM(F190,F183)</f>
        <v>485202</v>
      </c>
      <c r="G182" s="386"/>
      <c r="H182" s="386">
        <f t="shared" si="24"/>
        <v>485202</v>
      </c>
      <c r="I182" s="387">
        <f t="shared" si="25"/>
        <v>0.58844246519023036</v>
      </c>
    </row>
    <row r="183" spans="1:9">
      <c r="A183" s="596"/>
      <c r="B183" s="2641" t="s">
        <v>231</v>
      </c>
      <c r="C183" s="2669"/>
      <c r="D183" s="401"/>
      <c r="E183" s="389">
        <f>SUM(E184:E189)</f>
        <v>824553</v>
      </c>
      <c r="F183" s="389">
        <f>SUM(F184:F189)</f>
        <v>485202</v>
      </c>
      <c r="G183" s="389"/>
      <c r="H183" s="389">
        <f t="shared" si="24"/>
        <v>485202</v>
      </c>
      <c r="I183" s="390">
        <f t="shared" si="25"/>
        <v>0.58844246519023036</v>
      </c>
    </row>
    <row r="184" spans="1:9" s="514" customFormat="1" ht="55.5" customHeight="1">
      <c r="A184" s="443"/>
      <c r="B184" s="2644"/>
      <c r="C184" s="404" t="s">
        <v>350</v>
      </c>
      <c r="D184" s="2670" t="s">
        <v>338</v>
      </c>
      <c r="E184" s="481">
        <v>410695</v>
      </c>
      <c r="F184" s="445">
        <v>485202</v>
      </c>
      <c r="G184" s="445"/>
      <c r="H184" s="445">
        <f t="shared" si="24"/>
        <v>485202</v>
      </c>
      <c r="I184" s="446">
        <f t="shared" si="25"/>
        <v>1.181416866531124</v>
      </c>
    </row>
    <row r="185" spans="1:9" s="514" customFormat="1" ht="53.25" hidden="1" customHeight="1">
      <c r="A185" s="443"/>
      <c r="B185" s="2644"/>
      <c r="C185" s="404" t="s">
        <v>351</v>
      </c>
      <c r="D185" s="2671"/>
      <c r="E185" s="481">
        <v>233971</v>
      </c>
      <c r="F185" s="481">
        <v>0</v>
      </c>
      <c r="G185" s="481"/>
      <c r="H185" s="481">
        <f t="shared" si="24"/>
        <v>0</v>
      </c>
      <c r="I185" s="600">
        <f t="shared" si="25"/>
        <v>0</v>
      </c>
    </row>
    <row r="186" spans="1:9" s="514" customFormat="1" ht="64.5" hidden="1" customHeight="1">
      <c r="A186" s="443"/>
      <c r="B186" s="2644"/>
      <c r="C186" s="404" t="s">
        <v>352</v>
      </c>
      <c r="D186" s="2671"/>
      <c r="E186" s="481">
        <v>116837</v>
      </c>
      <c r="F186" s="481">
        <v>0</v>
      </c>
      <c r="G186" s="481"/>
      <c r="H186" s="481">
        <f t="shared" si="24"/>
        <v>0</v>
      </c>
      <c r="I186" s="600">
        <f t="shared" si="25"/>
        <v>0</v>
      </c>
    </row>
    <row r="187" spans="1:9" s="514" customFormat="1" ht="57" hidden="1" customHeight="1">
      <c r="A187" s="443"/>
      <c r="B187" s="2644"/>
      <c r="C187" s="404" t="s">
        <v>353</v>
      </c>
      <c r="D187" s="2671"/>
      <c r="E187" s="481">
        <v>49328</v>
      </c>
      <c r="F187" s="481">
        <v>0</v>
      </c>
      <c r="G187" s="481"/>
      <c r="H187" s="481">
        <f t="shared" si="24"/>
        <v>0</v>
      </c>
      <c r="I187" s="600">
        <f t="shared" si="25"/>
        <v>0</v>
      </c>
    </row>
    <row r="188" spans="1:9" s="514" customFormat="1" ht="63.75" hidden="1" customHeight="1">
      <c r="A188" s="443"/>
      <c r="B188" s="2644"/>
      <c r="C188" s="404" t="s">
        <v>354</v>
      </c>
      <c r="D188" s="2670" t="s">
        <v>328</v>
      </c>
      <c r="E188" s="481">
        <v>10820</v>
      </c>
      <c r="F188" s="481">
        <v>0</v>
      </c>
      <c r="G188" s="481"/>
      <c r="H188" s="481">
        <f t="shared" si="24"/>
        <v>0</v>
      </c>
      <c r="I188" s="600">
        <f t="shared" si="25"/>
        <v>0</v>
      </c>
    </row>
    <row r="189" spans="1:9" s="514" customFormat="1" ht="58.5" hidden="1" customHeight="1">
      <c r="A189" s="443"/>
      <c r="B189" s="2644"/>
      <c r="C189" s="404" t="s">
        <v>355</v>
      </c>
      <c r="D189" s="2672"/>
      <c r="E189" s="481">
        <v>2902</v>
      </c>
      <c r="F189" s="481">
        <v>0</v>
      </c>
      <c r="G189" s="481"/>
      <c r="H189" s="481">
        <f t="shared" si="24"/>
        <v>0</v>
      </c>
      <c r="I189" s="600">
        <f t="shared" si="25"/>
        <v>0</v>
      </c>
    </row>
    <row r="190" spans="1:9" ht="15.75" thickBot="1">
      <c r="A190" s="596"/>
      <c r="B190" s="2673" t="s">
        <v>235</v>
      </c>
      <c r="C190" s="2674"/>
      <c r="D190" s="601"/>
      <c r="E190" s="458">
        <v>0</v>
      </c>
      <c r="F190" s="458">
        <v>0</v>
      </c>
      <c r="G190" s="458"/>
      <c r="H190" s="458">
        <f t="shared" si="24"/>
        <v>0</v>
      </c>
      <c r="I190" s="459"/>
    </row>
    <row r="191" spans="1:9" s="514" customFormat="1" ht="15.75" hidden="1" thickBot="1">
      <c r="A191" s="443"/>
      <c r="B191" s="597">
        <v>75079</v>
      </c>
      <c r="C191" s="602" t="s">
        <v>356</v>
      </c>
      <c r="D191" s="603"/>
      <c r="E191" s="440">
        <f t="shared" ref="E191:F191" si="32">E192+E194</f>
        <v>319995</v>
      </c>
      <c r="F191" s="440">
        <f t="shared" si="32"/>
        <v>0</v>
      </c>
      <c r="G191" s="440"/>
      <c r="H191" s="440">
        <f t="shared" si="24"/>
        <v>0</v>
      </c>
      <c r="I191" s="441">
        <f t="shared" si="25"/>
        <v>0</v>
      </c>
    </row>
    <row r="192" spans="1:9" s="514" customFormat="1" ht="15.75" hidden="1" thickBot="1">
      <c r="A192" s="443"/>
      <c r="B192" s="2641" t="s">
        <v>231</v>
      </c>
      <c r="C192" s="2665"/>
      <c r="D192" s="401"/>
      <c r="E192" s="402">
        <f t="shared" ref="E192:F192" si="33">E193</f>
        <v>174995</v>
      </c>
      <c r="F192" s="402">
        <f t="shared" si="33"/>
        <v>0</v>
      </c>
      <c r="G192" s="402"/>
      <c r="H192" s="402">
        <f t="shared" si="24"/>
        <v>0</v>
      </c>
      <c r="I192" s="403">
        <f t="shared" si="25"/>
        <v>0</v>
      </c>
    </row>
    <row r="193" spans="1:9" s="514" customFormat="1" ht="39" hidden="1" thickBot="1">
      <c r="A193" s="443"/>
      <c r="B193" s="604"/>
      <c r="C193" s="605" t="s">
        <v>357</v>
      </c>
      <c r="D193" s="606">
        <v>2220</v>
      </c>
      <c r="E193" s="411">
        <v>174995</v>
      </c>
      <c r="F193" s="411">
        <v>0</v>
      </c>
      <c r="G193" s="411"/>
      <c r="H193" s="411">
        <f t="shared" si="24"/>
        <v>0</v>
      </c>
      <c r="I193" s="607">
        <f t="shared" si="25"/>
        <v>0</v>
      </c>
    </row>
    <row r="194" spans="1:9" s="514" customFormat="1" ht="15.75" hidden="1" thickBot="1">
      <c r="A194" s="443"/>
      <c r="B194" s="2663" t="s">
        <v>242</v>
      </c>
      <c r="C194" s="2664"/>
      <c r="D194" s="422"/>
      <c r="E194" s="477">
        <f t="shared" ref="E194:F194" si="34">E195</f>
        <v>145000</v>
      </c>
      <c r="F194" s="477">
        <f t="shared" si="34"/>
        <v>0</v>
      </c>
      <c r="G194" s="477"/>
      <c r="H194" s="477">
        <f t="shared" si="24"/>
        <v>0</v>
      </c>
      <c r="I194" s="478">
        <f t="shared" si="25"/>
        <v>0</v>
      </c>
    </row>
    <row r="195" spans="1:9" s="514" customFormat="1" ht="39" hidden="1" thickBot="1">
      <c r="A195" s="443"/>
      <c r="B195" s="608"/>
      <c r="C195" s="609" t="s">
        <v>358</v>
      </c>
      <c r="D195" s="610">
        <v>6520</v>
      </c>
      <c r="E195" s="490">
        <v>145000</v>
      </c>
      <c r="F195" s="490">
        <v>0</v>
      </c>
      <c r="G195" s="490"/>
      <c r="H195" s="490">
        <f t="shared" si="24"/>
        <v>0</v>
      </c>
      <c r="I195" s="611">
        <f t="shared" si="25"/>
        <v>0</v>
      </c>
    </row>
    <row r="196" spans="1:9" ht="15.75" thickBot="1">
      <c r="A196" s="596"/>
      <c r="B196" s="597">
        <v>75084</v>
      </c>
      <c r="C196" s="612" t="s">
        <v>359</v>
      </c>
      <c r="D196" s="613"/>
      <c r="E196" s="440">
        <f t="shared" ref="E196:F196" si="35">SUM(E197,E199)</f>
        <v>200000</v>
      </c>
      <c r="F196" s="440">
        <f t="shared" si="35"/>
        <v>200000</v>
      </c>
      <c r="G196" s="440">
        <f>G197+G199</f>
        <v>1000</v>
      </c>
      <c r="H196" s="440">
        <f t="shared" si="24"/>
        <v>201000</v>
      </c>
      <c r="I196" s="387">
        <f t="shared" si="25"/>
        <v>1.0049999999999999</v>
      </c>
    </row>
    <row r="197" spans="1:9" ht="15" customHeight="1">
      <c r="A197" s="596"/>
      <c r="B197" s="2641" t="s">
        <v>231</v>
      </c>
      <c r="C197" s="2665"/>
      <c r="D197" s="401"/>
      <c r="E197" s="402">
        <f t="shared" ref="E197:F197" si="36">SUM(E198)</f>
        <v>200000</v>
      </c>
      <c r="F197" s="402">
        <f t="shared" si="36"/>
        <v>200000</v>
      </c>
      <c r="G197" s="402">
        <f>G198</f>
        <v>1000</v>
      </c>
      <c r="H197" s="402">
        <f t="shared" si="24"/>
        <v>201000</v>
      </c>
      <c r="I197" s="403">
        <f t="shared" si="25"/>
        <v>1.0049999999999999</v>
      </c>
    </row>
    <row r="198" spans="1:9" ht="42.75" customHeight="1">
      <c r="A198" s="596"/>
      <c r="B198" s="614"/>
      <c r="C198" s="615" t="s">
        <v>240</v>
      </c>
      <c r="D198" s="616">
        <v>2210</v>
      </c>
      <c r="E198" s="392">
        <v>200000</v>
      </c>
      <c r="F198" s="392">
        <v>200000</v>
      </c>
      <c r="G198" s="392">
        <v>1000</v>
      </c>
      <c r="H198" s="392">
        <f t="shared" si="24"/>
        <v>201000</v>
      </c>
      <c r="I198" s="393">
        <f t="shared" si="25"/>
        <v>1.0049999999999999</v>
      </c>
    </row>
    <row r="199" spans="1:9" ht="15.75" thickBot="1">
      <c r="A199" s="596"/>
      <c r="B199" s="2666" t="s">
        <v>235</v>
      </c>
      <c r="C199" s="2667"/>
      <c r="D199" s="617"/>
      <c r="E199" s="396">
        <v>0</v>
      </c>
      <c r="F199" s="396">
        <v>0</v>
      </c>
      <c r="G199" s="396"/>
      <c r="H199" s="396">
        <f t="shared" si="24"/>
        <v>0</v>
      </c>
      <c r="I199" s="397"/>
    </row>
    <row r="200" spans="1:9" ht="15.75" thickBot="1">
      <c r="A200" s="2639"/>
      <c r="B200" s="526">
        <v>75095</v>
      </c>
      <c r="C200" s="421" t="s">
        <v>254</v>
      </c>
      <c r="D200" s="400"/>
      <c r="E200" s="440">
        <f t="shared" ref="E200:F200" si="37">SUM(E201,E213)</f>
        <v>6296635</v>
      </c>
      <c r="F200" s="440">
        <f t="shared" si="37"/>
        <v>4058466</v>
      </c>
      <c r="G200" s="440">
        <f>G201+G213</f>
        <v>-1000</v>
      </c>
      <c r="H200" s="440">
        <f t="shared" si="24"/>
        <v>4057466</v>
      </c>
      <c r="I200" s="441">
        <f t="shared" si="25"/>
        <v>0.64438640639007982</v>
      </c>
    </row>
    <row r="201" spans="1:9">
      <c r="A201" s="2639"/>
      <c r="B201" s="2641" t="s">
        <v>231</v>
      </c>
      <c r="C201" s="2668"/>
      <c r="D201" s="497"/>
      <c r="E201" s="402">
        <f t="shared" ref="E201" si="38">SUM(E202:E212)</f>
        <v>6282635</v>
      </c>
      <c r="F201" s="402">
        <f>SUM(F202:F212)</f>
        <v>4048466</v>
      </c>
      <c r="G201" s="402">
        <f>SUM(G202:G212)</f>
        <v>-1000</v>
      </c>
      <c r="H201" s="402">
        <f t="shared" si="24"/>
        <v>4047466</v>
      </c>
      <c r="I201" s="403">
        <f t="shared" si="25"/>
        <v>0.64423064526269636</v>
      </c>
    </row>
    <row r="202" spans="1:9" ht="25.5" hidden="1">
      <c r="A202" s="2639"/>
      <c r="B202" s="2643"/>
      <c r="C202" s="618" t="s">
        <v>344</v>
      </c>
      <c r="D202" s="619" t="s">
        <v>360</v>
      </c>
      <c r="E202" s="406">
        <v>25650</v>
      </c>
      <c r="F202" s="406">
        <v>0</v>
      </c>
      <c r="G202" s="406"/>
      <c r="H202" s="406">
        <f t="shared" ref="H202:H214" si="39">F202+G202</f>
        <v>0</v>
      </c>
      <c r="I202" s="620">
        <f t="shared" si="25"/>
        <v>0</v>
      </c>
    </row>
    <row r="203" spans="1:9" ht="43.5" customHeight="1">
      <c r="A203" s="2639"/>
      <c r="B203" s="2644"/>
      <c r="C203" s="621" t="s">
        <v>361</v>
      </c>
      <c r="D203" s="2654">
        <v>2008</v>
      </c>
      <c r="E203" s="392">
        <v>1842306</v>
      </c>
      <c r="F203" s="392">
        <v>1785000</v>
      </c>
      <c r="G203" s="392"/>
      <c r="H203" s="392">
        <f t="shared" si="39"/>
        <v>1785000</v>
      </c>
      <c r="I203" s="393">
        <f t="shared" ref="I203:I266" si="40">H203/E203</f>
        <v>0.96889441819111488</v>
      </c>
    </row>
    <row r="204" spans="1:9" ht="52.5" customHeight="1">
      <c r="A204" s="2639"/>
      <c r="B204" s="2644"/>
      <c r="C204" s="622" t="s">
        <v>362</v>
      </c>
      <c r="D204" s="2655"/>
      <c r="E204" s="392">
        <v>31705</v>
      </c>
      <c r="F204" s="392">
        <v>690795</v>
      </c>
      <c r="G204" s="392"/>
      <c r="H204" s="392">
        <f t="shared" si="39"/>
        <v>690795</v>
      </c>
      <c r="I204" s="393">
        <f t="shared" si="40"/>
        <v>21.788203753351205</v>
      </c>
    </row>
    <row r="205" spans="1:9" ht="53.25" hidden="1" customHeight="1">
      <c r="A205" s="2639"/>
      <c r="B205" s="2644"/>
      <c r="C205" s="622" t="s">
        <v>363</v>
      </c>
      <c r="D205" s="2656"/>
      <c r="E205" s="392">
        <v>2438958</v>
      </c>
      <c r="F205" s="392">
        <v>0</v>
      </c>
      <c r="G205" s="392"/>
      <c r="H205" s="392">
        <f t="shared" si="39"/>
        <v>0</v>
      </c>
      <c r="I205" s="393">
        <f t="shared" si="40"/>
        <v>0</v>
      </c>
    </row>
    <row r="206" spans="1:9" ht="45" customHeight="1">
      <c r="A206" s="2639"/>
      <c r="B206" s="2644"/>
      <c r="C206" s="623" t="s">
        <v>364</v>
      </c>
      <c r="D206" s="2654">
        <v>2009</v>
      </c>
      <c r="E206" s="407">
        <v>325113</v>
      </c>
      <c r="F206" s="407">
        <v>315000</v>
      </c>
      <c r="G206" s="407"/>
      <c r="H206" s="407">
        <f t="shared" si="39"/>
        <v>315000</v>
      </c>
      <c r="I206" s="408">
        <f t="shared" si="40"/>
        <v>0.96889389227745426</v>
      </c>
    </row>
    <row r="207" spans="1:9" ht="45" customHeight="1">
      <c r="A207" s="2639"/>
      <c r="B207" s="2644"/>
      <c r="C207" s="624" t="s">
        <v>365</v>
      </c>
      <c r="D207" s="2655"/>
      <c r="E207" s="392">
        <v>5595</v>
      </c>
      <c r="F207" s="392">
        <v>121905</v>
      </c>
      <c r="G207" s="392"/>
      <c r="H207" s="392">
        <f t="shared" si="39"/>
        <v>121905</v>
      </c>
      <c r="I207" s="393">
        <f t="shared" si="40"/>
        <v>21.788203753351205</v>
      </c>
    </row>
    <row r="208" spans="1:9" ht="51" hidden="1" customHeight="1">
      <c r="A208" s="2639"/>
      <c r="B208" s="2644"/>
      <c r="C208" s="425" t="s">
        <v>366</v>
      </c>
      <c r="D208" s="2656"/>
      <c r="E208" s="419">
        <v>430404</v>
      </c>
      <c r="F208" s="419">
        <v>0</v>
      </c>
      <c r="G208" s="419"/>
      <c r="H208" s="419">
        <f t="shared" si="39"/>
        <v>0</v>
      </c>
      <c r="I208" s="420">
        <f t="shared" si="40"/>
        <v>0</v>
      </c>
    </row>
    <row r="209" spans="1:9" ht="57.75" customHeight="1">
      <c r="A209" s="2639"/>
      <c r="B209" s="2644"/>
      <c r="C209" s="625" t="s">
        <v>367</v>
      </c>
      <c r="D209" s="2654">
        <v>2058</v>
      </c>
      <c r="E209" s="392">
        <v>95638</v>
      </c>
      <c r="F209" s="392">
        <v>93500</v>
      </c>
      <c r="G209" s="392"/>
      <c r="H209" s="392">
        <f t="shared" si="39"/>
        <v>93500</v>
      </c>
      <c r="I209" s="393">
        <f t="shared" si="40"/>
        <v>0.97764486919425331</v>
      </c>
    </row>
    <row r="210" spans="1:9" ht="55.5" customHeight="1">
      <c r="A210" s="2639"/>
      <c r="B210" s="2644"/>
      <c r="C210" s="626" t="s">
        <v>368</v>
      </c>
      <c r="D210" s="2656"/>
      <c r="E210" s="392">
        <v>1027266</v>
      </c>
      <c r="F210" s="392">
        <v>1031266</v>
      </c>
      <c r="G210" s="392"/>
      <c r="H210" s="392">
        <f t="shared" si="39"/>
        <v>1031266</v>
      </c>
      <c r="I210" s="393">
        <f t="shared" si="40"/>
        <v>1.0038938308091576</v>
      </c>
    </row>
    <row r="211" spans="1:9" ht="58.5" customHeight="1">
      <c r="A211" s="2639"/>
      <c r="B211" s="2644"/>
      <c r="C211" s="627" t="s">
        <v>369</v>
      </c>
      <c r="D211" s="545">
        <v>2059</v>
      </c>
      <c r="E211" s="392">
        <v>10000</v>
      </c>
      <c r="F211" s="392">
        <v>11000</v>
      </c>
      <c r="G211" s="392">
        <v>-1000</v>
      </c>
      <c r="H211" s="392">
        <f t="shared" si="39"/>
        <v>10000</v>
      </c>
      <c r="I211" s="393">
        <f t="shared" si="40"/>
        <v>1</v>
      </c>
    </row>
    <row r="212" spans="1:9" ht="42.75" hidden="1" customHeight="1">
      <c r="A212" s="2639"/>
      <c r="B212" s="2645"/>
      <c r="C212" s="627" t="s">
        <v>370</v>
      </c>
      <c r="D212" s="545">
        <v>2710</v>
      </c>
      <c r="E212" s="392">
        <v>50000</v>
      </c>
      <c r="F212" s="392">
        <v>0</v>
      </c>
      <c r="G212" s="392"/>
      <c r="H212" s="392">
        <f t="shared" si="39"/>
        <v>0</v>
      </c>
      <c r="I212" s="393">
        <f t="shared" si="40"/>
        <v>0</v>
      </c>
    </row>
    <row r="213" spans="1:9">
      <c r="A213" s="2639"/>
      <c r="B213" s="2657" t="s">
        <v>242</v>
      </c>
      <c r="C213" s="2658"/>
      <c r="D213" s="486"/>
      <c r="E213" s="415">
        <f t="shared" ref="E213" si="41">SUM(E214:E214)</f>
        <v>14000</v>
      </c>
      <c r="F213" s="415">
        <f>SUM(F214:F214)</f>
        <v>10000</v>
      </c>
      <c r="G213" s="415">
        <f>SUM(G214:G214)</f>
        <v>0</v>
      </c>
      <c r="H213" s="415">
        <f t="shared" si="39"/>
        <v>10000</v>
      </c>
      <c r="I213" s="416">
        <f t="shared" si="40"/>
        <v>0.7142857142857143</v>
      </c>
    </row>
    <row r="214" spans="1:9" ht="65.25" customHeight="1" thickBot="1">
      <c r="A214" s="443"/>
      <c r="B214" s="628"/>
      <c r="C214" s="629" t="s">
        <v>368</v>
      </c>
      <c r="D214" s="630">
        <v>6258</v>
      </c>
      <c r="E214" s="491">
        <v>14000</v>
      </c>
      <c r="F214" s="491">
        <v>10000</v>
      </c>
      <c r="G214" s="491"/>
      <c r="H214" s="491">
        <f t="shared" si="39"/>
        <v>10000</v>
      </c>
      <c r="I214" s="492">
        <f t="shared" si="40"/>
        <v>0.7142857142857143</v>
      </c>
    </row>
    <row r="215" spans="1:9" ht="18" customHeight="1" thickBot="1">
      <c r="A215" s="549">
        <v>752</v>
      </c>
      <c r="B215" s="567"/>
      <c r="C215" s="551" t="s">
        <v>371</v>
      </c>
      <c r="D215" s="568"/>
      <c r="E215" s="463">
        <f t="shared" ref="E215:F215" si="42">E216</f>
        <v>0</v>
      </c>
      <c r="F215" s="463">
        <f t="shared" si="42"/>
        <v>0</v>
      </c>
      <c r="G215" s="463">
        <f>G216</f>
        <v>5000</v>
      </c>
      <c r="H215" s="463">
        <f>H216</f>
        <v>5000</v>
      </c>
      <c r="I215" s="464"/>
    </row>
    <row r="216" spans="1:9" ht="15.75" thickBot="1">
      <c r="A216" s="631"/>
      <c r="B216" s="496">
        <v>75212</v>
      </c>
      <c r="C216" s="421" t="s">
        <v>372</v>
      </c>
      <c r="D216" s="400"/>
      <c r="E216" s="440">
        <f t="shared" ref="E216:F216" si="43">E217+E219</f>
        <v>0</v>
      </c>
      <c r="F216" s="440">
        <f t="shared" si="43"/>
        <v>0</v>
      </c>
      <c r="G216" s="440">
        <f>G217+G219</f>
        <v>5000</v>
      </c>
      <c r="H216" s="440">
        <f>H217+H219</f>
        <v>5000</v>
      </c>
      <c r="I216" s="441"/>
    </row>
    <row r="217" spans="1:9">
      <c r="A217" s="443"/>
      <c r="B217" s="2659" t="s">
        <v>231</v>
      </c>
      <c r="C217" s="2660"/>
      <c r="D217" s="632"/>
      <c r="E217" s="389">
        <f>E218</f>
        <v>0</v>
      </c>
      <c r="F217" s="389">
        <f>F218</f>
        <v>0</v>
      </c>
      <c r="G217" s="389">
        <f>G218</f>
        <v>5000</v>
      </c>
      <c r="H217" s="389">
        <f>H218</f>
        <v>5000</v>
      </c>
      <c r="I217" s="390"/>
    </row>
    <row r="218" spans="1:9" ht="42" customHeight="1">
      <c r="A218" s="443"/>
      <c r="B218" s="511"/>
      <c r="C218" s="633" t="s">
        <v>240</v>
      </c>
      <c r="D218" s="634">
        <v>2210</v>
      </c>
      <c r="E218" s="411">
        <v>0</v>
      </c>
      <c r="F218" s="411">
        <v>0</v>
      </c>
      <c r="G218" s="411">
        <v>5000</v>
      </c>
      <c r="H218" s="411">
        <f>F218+G218</f>
        <v>5000</v>
      </c>
      <c r="I218" s="607"/>
    </row>
    <row r="219" spans="1:9" ht="15" customHeight="1" thickBot="1">
      <c r="A219" s="443"/>
      <c r="B219" s="2661" t="s">
        <v>235</v>
      </c>
      <c r="C219" s="2662"/>
      <c r="D219" s="635"/>
      <c r="E219" s="396">
        <v>0</v>
      </c>
      <c r="F219" s="396">
        <v>0</v>
      </c>
      <c r="G219" s="396">
        <v>0</v>
      </c>
      <c r="H219" s="396">
        <v>0</v>
      </c>
      <c r="I219" s="478"/>
    </row>
    <row r="220" spans="1:9" ht="43.5" customHeight="1" thickBot="1">
      <c r="A220" s="549">
        <v>756</v>
      </c>
      <c r="B220" s="567"/>
      <c r="C220" s="551" t="s">
        <v>373</v>
      </c>
      <c r="D220" s="568"/>
      <c r="E220" s="463">
        <f>SUM(E221,E228)</f>
        <v>228933532</v>
      </c>
      <c r="F220" s="463">
        <f>SUM(F221,F228)</f>
        <v>233496166</v>
      </c>
      <c r="G220" s="463">
        <f>G228</f>
        <v>18152271</v>
      </c>
      <c r="H220" s="463">
        <f t="shared" ref="H220:H283" si="44">F220+G220</f>
        <v>251648437</v>
      </c>
      <c r="I220" s="464">
        <f t="shared" si="40"/>
        <v>1.099220523972871</v>
      </c>
    </row>
    <row r="221" spans="1:9" ht="26.25" thickBot="1">
      <c r="A221" s="2638"/>
      <c r="B221" s="496">
        <v>75618</v>
      </c>
      <c r="C221" s="421" t="s">
        <v>374</v>
      </c>
      <c r="D221" s="400"/>
      <c r="E221" s="386">
        <f>SUM(E222,E227)</f>
        <v>5054667</v>
      </c>
      <c r="F221" s="386">
        <f>SUM(F222,F227)</f>
        <v>5139724</v>
      </c>
      <c r="G221" s="386"/>
      <c r="H221" s="386">
        <f t="shared" si="44"/>
        <v>5139724</v>
      </c>
      <c r="I221" s="387">
        <f t="shared" si="40"/>
        <v>1.0168274190960551</v>
      </c>
    </row>
    <row r="222" spans="1:9">
      <c r="A222" s="2639"/>
      <c r="B222" s="2641" t="s">
        <v>231</v>
      </c>
      <c r="C222" s="2642"/>
      <c r="D222" s="636"/>
      <c r="E222" s="389">
        <f>SUM(E223:E226)</f>
        <v>5054667</v>
      </c>
      <c r="F222" s="389">
        <f>SUM(F223:F226)</f>
        <v>5139724</v>
      </c>
      <c r="G222" s="389"/>
      <c r="H222" s="389">
        <f t="shared" si="44"/>
        <v>5139724</v>
      </c>
      <c r="I222" s="390">
        <f t="shared" si="40"/>
        <v>1.0168274190960551</v>
      </c>
    </row>
    <row r="223" spans="1:9" ht="25.5">
      <c r="A223" s="2639"/>
      <c r="B223" s="2643"/>
      <c r="C223" s="637" t="s">
        <v>375</v>
      </c>
      <c r="D223" s="391" t="s">
        <v>376</v>
      </c>
      <c r="E223" s="411">
        <v>4559725</v>
      </c>
      <c r="F223" s="392">
        <v>4377608</v>
      </c>
      <c r="G223" s="392"/>
      <c r="H223" s="392">
        <f t="shared" si="44"/>
        <v>4377608</v>
      </c>
      <c r="I223" s="393">
        <f t="shared" si="40"/>
        <v>0.96005965272028471</v>
      </c>
    </row>
    <row r="224" spans="1:9" ht="15.75" customHeight="1">
      <c r="A224" s="2639"/>
      <c r="B224" s="2644"/>
      <c r="C224" s="595" t="s">
        <v>377</v>
      </c>
      <c r="D224" s="435" t="s">
        <v>378</v>
      </c>
      <c r="E224" s="392">
        <v>440200</v>
      </c>
      <c r="F224" s="392">
        <v>707800</v>
      </c>
      <c r="G224" s="392"/>
      <c r="H224" s="392">
        <f t="shared" si="44"/>
        <v>707800</v>
      </c>
      <c r="I224" s="393">
        <f t="shared" si="40"/>
        <v>1.6079054975011358</v>
      </c>
    </row>
    <row r="225" spans="1:9" ht="41.25" customHeight="1">
      <c r="A225" s="2639"/>
      <c r="B225" s="2644"/>
      <c r="C225" s="565" t="s">
        <v>379</v>
      </c>
      <c r="D225" s="531" t="s">
        <v>380</v>
      </c>
      <c r="E225" s="392">
        <v>29742</v>
      </c>
      <c r="F225" s="392">
        <v>24316</v>
      </c>
      <c r="G225" s="392"/>
      <c r="H225" s="392">
        <f t="shared" si="44"/>
        <v>24316</v>
      </c>
      <c r="I225" s="393">
        <f t="shared" si="40"/>
        <v>0.81756438706206713</v>
      </c>
    </row>
    <row r="226" spans="1:9">
      <c r="A226" s="2639"/>
      <c r="B226" s="2645"/>
      <c r="C226" s="638" t="s">
        <v>381</v>
      </c>
      <c r="D226" s="569" t="s">
        <v>234</v>
      </c>
      <c r="E226" s="392">
        <v>25000</v>
      </c>
      <c r="F226" s="392">
        <v>30000</v>
      </c>
      <c r="G226" s="392"/>
      <c r="H226" s="392">
        <f t="shared" si="44"/>
        <v>30000</v>
      </c>
      <c r="I226" s="393">
        <f t="shared" si="40"/>
        <v>1.2</v>
      </c>
    </row>
    <row r="227" spans="1:9" ht="15.75" thickBot="1">
      <c r="A227" s="2639"/>
      <c r="B227" s="2646" t="s">
        <v>235</v>
      </c>
      <c r="C227" s="2647"/>
      <c r="D227" s="448"/>
      <c r="E227" s="477">
        <v>0</v>
      </c>
      <c r="F227" s="477">
        <v>0</v>
      </c>
      <c r="G227" s="477"/>
      <c r="H227" s="477">
        <f t="shared" si="44"/>
        <v>0</v>
      </c>
      <c r="I227" s="478"/>
    </row>
    <row r="228" spans="1:9" ht="26.25" thickBot="1">
      <c r="A228" s="2639"/>
      <c r="B228" s="526">
        <v>75623</v>
      </c>
      <c r="C228" s="421" t="s">
        <v>382</v>
      </c>
      <c r="D228" s="400"/>
      <c r="E228" s="386">
        <f t="shared" ref="E228:F228" si="45">SUM(E229,E232)</f>
        <v>223878865</v>
      </c>
      <c r="F228" s="386">
        <f t="shared" si="45"/>
        <v>228356442</v>
      </c>
      <c r="G228" s="386">
        <f>G229</f>
        <v>18152271</v>
      </c>
      <c r="H228" s="386">
        <f t="shared" si="44"/>
        <v>246508713</v>
      </c>
      <c r="I228" s="387">
        <f t="shared" si="40"/>
        <v>1.1010807697278615</v>
      </c>
    </row>
    <row r="229" spans="1:9">
      <c r="A229" s="2639"/>
      <c r="B229" s="2648" t="s">
        <v>231</v>
      </c>
      <c r="C229" s="2649"/>
      <c r="D229" s="639"/>
      <c r="E229" s="389">
        <f>SUM(E230:E231)</f>
        <v>223878865</v>
      </c>
      <c r="F229" s="389">
        <f>SUM(F230:F231)</f>
        <v>228356442</v>
      </c>
      <c r="G229" s="389">
        <f>G230+G231</f>
        <v>18152271</v>
      </c>
      <c r="H229" s="389">
        <f t="shared" si="44"/>
        <v>246508713</v>
      </c>
      <c r="I229" s="390">
        <f t="shared" si="40"/>
        <v>1.1010807697278615</v>
      </c>
    </row>
    <row r="230" spans="1:9" ht="28.5" customHeight="1">
      <c r="A230" s="2639"/>
      <c r="B230" s="2650"/>
      <c r="C230" s="595" t="s">
        <v>383</v>
      </c>
      <c r="D230" s="435" t="s">
        <v>384</v>
      </c>
      <c r="E230" s="392">
        <v>56741253</v>
      </c>
      <c r="F230" s="392">
        <v>57876078</v>
      </c>
      <c r="G230" s="392">
        <v>8632635</v>
      </c>
      <c r="H230" s="392">
        <f t="shared" si="44"/>
        <v>66508713</v>
      </c>
      <c r="I230" s="393">
        <f t="shared" si="40"/>
        <v>1.1721403649651516</v>
      </c>
    </row>
    <row r="231" spans="1:9" ht="28.5" customHeight="1">
      <c r="A231" s="2639"/>
      <c r="B231" s="2651"/>
      <c r="C231" s="595" t="s">
        <v>385</v>
      </c>
      <c r="D231" s="435" t="s">
        <v>386</v>
      </c>
      <c r="E231" s="392">
        <v>167137612</v>
      </c>
      <c r="F231" s="392">
        <v>170480364</v>
      </c>
      <c r="G231" s="392">
        <v>9519636</v>
      </c>
      <c r="H231" s="392">
        <f t="shared" si="44"/>
        <v>180000000</v>
      </c>
      <c r="I231" s="393">
        <f t="shared" si="40"/>
        <v>1.0769568731184218</v>
      </c>
    </row>
    <row r="232" spans="1:9" ht="15.75" thickBot="1">
      <c r="A232" s="2640"/>
      <c r="B232" s="2652" t="s">
        <v>235</v>
      </c>
      <c r="C232" s="2653"/>
      <c r="D232" s="448"/>
      <c r="E232" s="470">
        <v>0</v>
      </c>
      <c r="F232" s="470">
        <v>0</v>
      </c>
      <c r="G232" s="470"/>
      <c r="H232" s="470">
        <f t="shared" si="44"/>
        <v>0</v>
      </c>
      <c r="I232" s="471"/>
    </row>
    <row r="233" spans="1:9" ht="15.75" thickBot="1">
      <c r="A233" s="640">
        <v>758</v>
      </c>
      <c r="B233" s="641"/>
      <c r="C233" s="642" t="s">
        <v>387</v>
      </c>
      <c r="D233" s="643"/>
      <c r="E233" s="381">
        <f t="shared" ref="E233:F233" si="46">SUM(E234,E242,E246,E250,E254,E267,E238)</f>
        <v>900601821</v>
      </c>
      <c r="F233" s="381">
        <f t="shared" si="46"/>
        <v>566524047</v>
      </c>
      <c r="G233" s="381">
        <f>G234+G242+G246+G250+G254+G267+G238</f>
        <v>163053242</v>
      </c>
      <c r="H233" s="381">
        <f t="shared" si="44"/>
        <v>729577289</v>
      </c>
      <c r="I233" s="382">
        <f t="shared" si="40"/>
        <v>0.81009972663601804</v>
      </c>
    </row>
    <row r="234" spans="1:9" s="514" customFormat="1" ht="26.25" thickBot="1">
      <c r="A234" s="2633"/>
      <c r="B234" s="644">
        <v>75801</v>
      </c>
      <c r="C234" s="645" t="s">
        <v>388</v>
      </c>
      <c r="D234" s="646"/>
      <c r="E234" s="386">
        <f t="shared" ref="E234:F234" si="47">SUM(E235,E237)</f>
        <v>33110063</v>
      </c>
      <c r="F234" s="386">
        <f t="shared" si="47"/>
        <v>34674732</v>
      </c>
      <c r="G234" s="386">
        <f>G235</f>
        <v>-919172</v>
      </c>
      <c r="H234" s="386">
        <f t="shared" si="44"/>
        <v>33755560</v>
      </c>
      <c r="I234" s="387">
        <f t="shared" si="40"/>
        <v>1.0194954929563258</v>
      </c>
    </row>
    <row r="235" spans="1:9" ht="16.5" customHeight="1">
      <c r="A235" s="2607"/>
      <c r="B235" s="2634" t="s">
        <v>231</v>
      </c>
      <c r="C235" s="2634"/>
      <c r="D235" s="647"/>
      <c r="E235" s="389">
        <f>SUM(E236)</f>
        <v>33110063</v>
      </c>
      <c r="F235" s="389">
        <f>SUM(F236)</f>
        <v>34674732</v>
      </c>
      <c r="G235" s="389">
        <f>G236</f>
        <v>-919172</v>
      </c>
      <c r="H235" s="389">
        <f t="shared" si="44"/>
        <v>33755560</v>
      </c>
      <c r="I235" s="390">
        <f t="shared" si="40"/>
        <v>1.0194954929563258</v>
      </c>
    </row>
    <row r="236" spans="1:9" ht="24.75" customHeight="1">
      <c r="A236" s="2607"/>
      <c r="B236" s="648"/>
      <c r="C236" s="649" t="s">
        <v>389</v>
      </c>
      <c r="D236" s="650">
        <v>2920</v>
      </c>
      <c r="E236" s="392">
        <v>33110063</v>
      </c>
      <c r="F236" s="392">
        <v>34674732</v>
      </c>
      <c r="G236" s="392">
        <v>-919172</v>
      </c>
      <c r="H236" s="392">
        <f t="shared" si="44"/>
        <v>33755560</v>
      </c>
      <c r="I236" s="393">
        <f t="shared" si="40"/>
        <v>1.0194954929563258</v>
      </c>
    </row>
    <row r="237" spans="1:9" ht="15.75" thickBot="1">
      <c r="A237" s="2607"/>
      <c r="B237" s="2630" t="s">
        <v>235</v>
      </c>
      <c r="C237" s="2630"/>
      <c r="D237" s="651"/>
      <c r="E237" s="477">
        <v>0</v>
      </c>
      <c r="F237" s="477">
        <v>0</v>
      </c>
      <c r="G237" s="477"/>
      <c r="H237" s="477">
        <f t="shared" si="44"/>
        <v>0</v>
      </c>
      <c r="I237" s="478"/>
    </row>
    <row r="238" spans="1:9" ht="26.25" hidden="1" thickBot="1">
      <c r="A238" s="2607"/>
      <c r="B238" s="644">
        <v>75802</v>
      </c>
      <c r="C238" s="645" t="s">
        <v>390</v>
      </c>
      <c r="D238" s="646"/>
      <c r="E238" s="386">
        <f t="shared" ref="E238:F238" si="48">E239+E240</f>
        <v>5824200</v>
      </c>
      <c r="F238" s="386">
        <f t="shared" si="48"/>
        <v>3000000</v>
      </c>
      <c r="G238" s="386">
        <f>G239+G240</f>
        <v>-3000000</v>
      </c>
      <c r="H238" s="386">
        <f t="shared" si="44"/>
        <v>0</v>
      </c>
      <c r="I238" s="387">
        <f t="shared" si="40"/>
        <v>0</v>
      </c>
    </row>
    <row r="239" spans="1:9" ht="15.75" hidden="1" thickBot="1">
      <c r="A239" s="2607"/>
      <c r="B239" s="2634" t="s">
        <v>391</v>
      </c>
      <c r="C239" s="2634"/>
      <c r="D239" s="647"/>
      <c r="E239" s="389">
        <v>0</v>
      </c>
      <c r="F239" s="389">
        <v>0</v>
      </c>
      <c r="G239" s="389"/>
      <c r="H239" s="389">
        <f t="shared" si="44"/>
        <v>0</v>
      </c>
      <c r="I239" s="390"/>
    </row>
    <row r="240" spans="1:9" ht="15.75" hidden="1" customHeight="1">
      <c r="A240" s="2607"/>
      <c r="B240" s="2635" t="s">
        <v>242</v>
      </c>
      <c r="C240" s="2636"/>
      <c r="D240" s="652"/>
      <c r="E240" s="415">
        <f t="shared" ref="E240:F240" si="49">E241</f>
        <v>5824200</v>
      </c>
      <c r="F240" s="415">
        <f t="shared" si="49"/>
        <v>3000000</v>
      </c>
      <c r="G240" s="415">
        <f>G241</f>
        <v>-3000000</v>
      </c>
      <c r="H240" s="415">
        <f t="shared" si="44"/>
        <v>0</v>
      </c>
      <c r="I240" s="416">
        <f t="shared" si="40"/>
        <v>0</v>
      </c>
    </row>
    <row r="241" spans="1:9" ht="42" hidden="1" customHeight="1" thickBot="1">
      <c r="A241" s="2607"/>
      <c r="B241" s="653"/>
      <c r="C241" s="654" t="s">
        <v>392</v>
      </c>
      <c r="D241" s="655">
        <v>6180</v>
      </c>
      <c r="E241" s="656">
        <v>5824200</v>
      </c>
      <c r="F241" s="419">
        <v>3000000</v>
      </c>
      <c r="G241" s="419">
        <v>-3000000</v>
      </c>
      <c r="H241" s="419">
        <f t="shared" si="44"/>
        <v>0</v>
      </c>
      <c r="I241" s="420">
        <f t="shared" si="40"/>
        <v>0</v>
      </c>
    </row>
    <row r="242" spans="1:9" ht="15.75" thickBot="1">
      <c r="A242" s="2607"/>
      <c r="B242" s="644">
        <v>75804</v>
      </c>
      <c r="C242" s="645" t="s">
        <v>393</v>
      </c>
      <c r="D242" s="646"/>
      <c r="E242" s="440">
        <f t="shared" ref="E242:F242" si="50">SUM(E243,E245)</f>
        <v>141581106</v>
      </c>
      <c r="F242" s="440">
        <f t="shared" si="50"/>
        <v>133312790</v>
      </c>
      <c r="G242" s="440">
        <f>G243</f>
        <v>30345846</v>
      </c>
      <c r="H242" s="440">
        <f t="shared" si="44"/>
        <v>163658636</v>
      </c>
      <c r="I242" s="441">
        <f t="shared" si="40"/>
        <v>1.1559355667132591</v>
      </c>
    </row>
    <row r="243" spans="1:9">
      <c r="A243" s="2607"/>
      <c r="B243" s="2634" t="s">
        <v>231</v>
      </c>
      <c r="C243" s="2634"/>
      <c r="D243" s="647"/>
      <c r="E243" s="389">
        <f>SUM(E244)</f>
        <v>141581106</v>
      </c>
      <c r="F243" s="389">
        <f>SUM(F244)</f>
        <v>133312790</v>
      </c>
      <c r="G243" s="389">
        <f>G244</f>
        <v>30345846</v>
      </c>
      <c r="H243" s="389">
        <f t="shared" si="44"/>
        <v>163658636</v>
      </c>
      <c r="I243" s="390">
        <f t="shared" si="40"/>
        <v>1.1559355667132591</v>
      </c>
    </row>
    <row r="244" spans="1:9" ht="26.25" customHeight="1">
      <c r="A244" s="2607"/>
      <c r="B244" s="648"/>
      <c r="C244" s="649" t="s">
        <v>389</v>
      </c>
      <c r="D244" s="650">
        <v>2920</v>
      </c>
      <c r="E244" s="392">
        <v>141581106</v>
      </c>
      <c r="F244" s="392">
        <v>133312790</v>
      </c>
      <c r="G244" s="392">
        <v>30345846</v>
      </c>
      <c r="H244" s="392">
        <f t="shared" si="44"/>
        <v>163658636</v>
      </c>
      <c r="I244" s="393">
        <f t="shared" si="40"/>
        <v>1.1559355667132591</v>
      </c>
    </row>
    <row r="245" spans="1:9" ht="13.5" customHeight="1">
      <c r="A245" s="2607"/>
      <c r="B245" s="2635" t="s">
        <v>235</v>
      </c>
      <c r="C245" s="2637"/>
      <c r="D245" s="657"/>
      <c r="E245" s="415">
        <v>0</v>
      </c>
      <c r="F245" s="415">
        <v>0</v>
      </c>
      <c r="G245" s="415"/>
      <c r="H245" s="415">
        <f t="shared" si="44"/>
        <v>0</v>
      </c>
      <c r="I245" s="416"/>
    </row>
    <row r="246" spans="1:9" ht="15.75" thickBot="1">
      <c r="A246" s="2607"/>
      <c r="B246" s="658">
        <v>75814</v>
      </c>
      <c r="C246" s="659" t="s">
        <v>394</v>
      </c>
      <c r="D246" s="660"/>
      <c r="E246" s="430">
        <f t="shared" ref="E246:F246" si="51">SUM(E247,E249)</f>
        <v>2500000</v>
      </c>
      <c r="F246" s="430">
        <f t="shared" si="51"/>
        <v>2500000</v>
      </c>
      <c r="G246" s="430">
        <f>G247</f>
        <v>0</v>
      </c>
      <c r="H246" s="430">
        <f t="shared" si="44"/>
        <v>2500000</v>
      </c>
      <c r="I246" s="431">
        <f t="shared" si="40"/>
        <v>1</v>
      </c>
    </row>
    <row r="247" spans="1:9">
      <c r="A247" s="2607"/>
      <c r="B247" s="2634" t="s">
        <v>231</v>
      </c>
      <c r="C247" s="2634"/>
      <c r="D247" s="647"/>
      <c r="E247" s="389">
        <f>SUM(E248)</f>
        <v>2500000</v>
      </c>
      <c r="F247" s="389">
        <f>SUM(F248)</f>
        <v>2500000</v>
      </c>
      <c r="G247" s="389">
        <f>G248</f>
        <v>0</v>
      </c>
      <c r="H247" s="389">
        <f t="shared" si="44"/>
        <v>2500000</v>
      </c>
      <c r="I247" s="390">
        <f t="shared" si="40"/>
        <v>1</v>
      </c>
    </row>
    <row r="248" spans="1:9" ht="28.5" customHeight="1">
      <c r="A248" s="2607"/>
      <c r="B248" s="648"/>
      <c r="C248" s="661" t="s">
        <v>395</v>
      </c>
      <c r="D248" s="662" t="s">
        <v>396</v>
      </c>
      <c r="E248" s="392">
        <v>2500000</v>
      </c>
      <c r="F248" s="392">
        <v>2500000</v>
      </c>
      <c r="G248" s="392"/>
      <c r="H248" s="392">
        <f t="shared" si="44"/>
        <v>2500000</v>
      </c>
      <c r="I248" s="393">
        <f t="shared" si="40"/>
        <v>1</v>
      </c>
    </row>
    <row r="249" spans="1:9" ht="15.75" thickBot="1">
      <c r="A249" s="2607"/>
      <c r="B249" s="2630" t="s">
        <v>235</v>
      </c>
      <c r="C249" s="2630"/>
      <c r="D249" s="651"/>
      <c r="E249" s="477">
        <v>0</v>
      </c>
      <c r="F249" s="477">
        <v>0</v>
      </c>
      <c r="G249" s="477"/>
      <c r="H249" s="477">
        <f t="shared" si="44"/>
        <v>0</v>
      </c>
      <c r="I249" s="478"/>
    </row>
    <row r="250" spans="1:9" ht="15.75" thickBot="1">
      <c r="A250" s="2607"/>
      <c r="B250" s="644">
        <v>75833</v>
      </c>
      <c r="C250" s="645" t="s">
        <v>397</v>
      </c>
      <c r="D250" s="646"/>
      <c r="E250" s="386">
        <f t="shared" ref="E250:F250" si="52">SUM(E251,E253)</f>
        <v>55273958</v>
      </c>
      <c r="F250" s="386">
        <f t="shared" si="52"/>
        <v>55273958</v>
      </c>
      <c r="G250" s="386">
        <f>G251</f>
        <v>10546212</v>
      </c>
      <c r="H250" s="386">
        <f t="shared" si="44"/>
        <v>65820170</v>
      </c>
      <c r="I250" s="387">
        <f t="shared" si="40"/>
        <v>1.1907989292172636</v>
      </c>
    </row>
    <row r="251" spans="1:9">
      <c r="A251" s="2607"/>
      <c r="B251" s="2634" t="s">
        <v>231</v>
      </c>
      <c r="C251" s="2631"/>
      <c r="D251" s="663"/>
      <c r="E251" s="389">
        <f>SUM(E252)</f>
        <v>55273958</v>
      </c>
      <c r="F251" s="389">
        <f>SUM(F252)</f>
        <v>55273958</v>
      </c>
      <c r="G251" s="389">
        <f>G252</f>
        <v>10546212</v>
      </c>
      <c r="H251" s="389">
        <f t="shared" si="44"/>
        <v>65820170</v>
      </c>
      <c r="I251" s="390">
        <f t="shared" si="40"/>
        <v>1.1907989292172636</v>
      </c>
    </row>
    <row r="252" spans="1:9" ht="28.5" customHeight="1">
      <c r="A252" s="2607"/>
      <c r="B252" s="648"/>
      <c r="C252" s="664" t="s">
        <v>389</v>
      </c>
      <c r="D252" s="662" t="s">
        <v>398</v>
      </c>
      <c r="E252" s="392">
        <v>55273958</v>
      </c>
      <c r="F252" s="392">
        <v>55273958</v>
      </c>
      <c r="G252" s="392">
        <v>10546212</v>
      </c>
      <c r="H252" s="392">
        <f t="shared" si="44"/>
        <v>65820170</v>
      </c>
      <c r="I252" s="393">
        <f t="shared" si="40"/>
        <v>1.1907989292172636</v>
      </c>
    </row>
    <row r="253" spans="1:9" ht="15.75" thickBot="1">
      <c r="A253" s="2607"/>
      <c r="B253" s="2630" t="s">
        <v>235</v>
      </c>
      <c r="C253" s="2631"/>
      <c r="D253" s="663"/>
      <c r="E253" s="477">
        <v>0</v>
      </c>
      <c r="F253" s="477">
        <v>0</v>
      </c>
      <c r="G253" s="477"/>
      <c r="H253" s="477">
        <f t="shared" si="44"/>
        <v>0</v>
      </c>
      <c r="I253" s="478"/>
    </row>
    <row r="254" spans="1:9" ht="39" thickBot="1">
      <c r="A254" s="2607"/>
      <c r="B254" s="665">
        <v>75863</v>
      </c>
      <c r="C254" s="645" t="s">
        <v>399</v>
      </c>
      <c r="D254" s="666"/>
      <c r="E254" s="440">
        <f>SUM(E255,E260)</f>
        <v>569519562</v>
      </c>
      <c r="F254" s="440">
        <f>SUM(F255,F260)</f>
        <v>260520333</v>
      </c>
      <c r="G254" s="440">
        <f>G255+G260</f>
        <v>122608464</v>
      </c>
      <c r="H254" s="440">
        <f>F254+G254</f>
        <v>383128797</v>
      </c>
      <c r="I254" s="441">
        <f t="shared" si="40"/>
        <v>0.67272280455925759</v>
      </c>
    </row>
    <row r="255" spans="1:9">
      <c r="A255" s="2607"/>
      <c r="B255" s="2610" t="s">
        <v>231</v>
      </c>
      <c r="C255" s="2610"/>
      <c r="D255" s="667"/>
      <c r="E255" s="561">
        <f>SUM(E256:E259)</f>
        <v>66642843</v>
      </c>
      <c r="F255" s="561">
        <f>SUM(F256:F259)</f>
        <v>48525994</v>
      </c>
      <c r="G255" s="561">
        <f>SUM(G256:G259)</f>
        <v>-6460909</v>
      </c>
      <c r="H255" s="561">
        <f t="shared" si="44"/>
        <v>42065085</v>
      </c>
      <c r="I255" s="562">
        <f t="shared" si="40"/>
        <v>0.63120183813286601</v>
      </c>
    </row>
    <row r="256" spans="1:9" s="514" customFormat="1" ht="39.75" customHeight="1">
      <c r="A256" s="2607"/>
      <c r="B256" s="2602"/>
      <c r="C256" s="668" t="s">
        <v>400</v>
      </c>
      <c r="D256" s="669">
        <v>2007</v>
      </c>
      <c r="E256" s="407">
        <v>57252919</v>
      </c>
      <c r="F256" s="407">
        <v>44332645</v>
      </c>
      <c r="G256" s="407">
        <v>-7280054</v>
      </c>
      <c r="H256" s="407">
        <v>37356649</v>
      </c>
      <c r="I256" s="408">
        <f t="shared" si="40"/>
        <v>0.65248461829518245</v>
      </c>
    </row>
    <row r="257" spans="1:9" s="514" customFormat="1" ht="41.25" hidden="1" customHeight="1">
      <c r="A257" s="2607"/>
      <c r="B257" s="2586"/>
      <c r="C257" s="668" t="s">
        <v>401</v>
      </c>
      <c r="D257" s="670">
        <v>2009</v>
      </c>
      <c r="E257" s="407">
        <v>39</v>
      </c>
      <c r="F257" s="407">
        <v>0</v>
      </c>
      <c r="G257" s="407"/>
      <c r="H257" s="407">
        <f t="shared" si="44"/>
        <v>0</v>
      </c>
      <c r="I257" s="408">
        <f t="shared" si="40"/>
        <v>0</v>
      </c>
    </row>
    <row r="258" spans="1:9" s="514" customFormat="1" ht="51.75" hidden="1" customHeight="1">
      <c r="A258" s="2607"/>
      <c r="B258" s="2586"/>
      <c r="C258" s="668" t="s">
        <v>402</v>
      </c>
      <c r="D258" s="2603">
        <v>2057</v>
      </c>
      <c r="E258" s="407">
        <v>9221</v>
      </c>
      <c r="F258" s="407">
        <v>0</v>
      </c>
      <c r="G258" s="407"/>
      <c r="H258" s="407">
        <f t="shared" si="44"/>
        <v>0</v>
      </c>
      <c r="I258" s="408">
        <f t="shared" si="40"/>
        <v>0</v>
      </c>
    </row>
    <row r="259" spans="1:9" ht="37.5" customHeight="1">
      <c r="A259" s="2607"/>
      <c r="B259" s="2586"/>
      <c r="C259" s="668" t="s">
        <v>400</v>
      </c>
      <c r="D259" s="2604"/>
      <c r="E259" s="392">
        <v>9380664</v>
      </c>
      <c r="F259" s="392">
        <v>4193349</v>
      </c>
      <c r="G259" s="392">
        <v>819145</v>
      </c>
      <c r="H259" s="392">
        <v>4708436</v>
      </c>
      <c r="I259" s="393">
        <f t="shared" si="40"/>
        <v>0.50192992734842656</v>
      </c>
    </row>
    <row r="260" spans="1:9">
      <c r="A260" s="2607"/>
      <c r="B260" s="2590" t="s">
        <v>242</v>
      </c>
      <c r="C260" s="2591"/>
      <c r="D260" s="671"/>
      <c r="E260" s="415">
        <f>SUM(E261:E266)</f>
        <v>502876719</v>
      </c>
      <c r="F260" s="415">
        <f>SUM(F261:F266)</f>
        <v>211994339</v>
      </c>
      <c r="G260" s="415">
        <f>SUM(G261:G266)</f>
        <v>129069373</v>
      </c>
      <c r="H260" s="415">
        <f t="shared" si="44"/>
        <v>341063712</v>
      </c>
      <c r="I260" s="416">
        <f t="shared" si="40"/>
        <v>0.67822529680480192</v>
      </c>
    </row>
    <row r="261" spans="1:9" s="514" customFormat="1" ht="43.5" customHeight="1">
      <c r="A261" s="2607"/>
      <c r="B261" s="2602"/>
      <c r="C261" s="672" t="s">
        <v>400</v>
      </c>
      <c r="D261" s="669">
        <v>6207</v>
      </c>
      <c r="E261" s="445">
        <v>18609547</v>
      </c>
      <c r="F261" s="445">
        <v>12850906</v>
      </c>
      <c r="G261" s="445">
        <v>-6994481</v>
      </c>
      <c r="H261" s="392">
        <f>F261+G261</f>
        <v>5856425</v>
      </c>
      <c r="I261" s="446">
        <f t="shared" si="40"/>
        <v>0.31470003004371894</v>
      </c>
    </row>
    <row r="262" spans="1:9" ht="42.75" customHeight="1">
      <c r="A262" s="2607"/>
      <c r="B262" s="2586"/>
      <c r="C262" s="672" t="s">
        <v>403</v>
      </c>
      <c r="D262" s="669">
        <v>6209</v>
      </c>
      <c r="E262" s="392">
        <v>15202462</v>
      </c>
      <c r="F262" s="392">
        <v>24942604</v>
      </c>
      <c r="G262" s="392">
        <v>-7755764</v>
      </c>
      <c r="H262" s="392">
        <f>F262+G262</f>
        <v>17186840</v>
      </c>
      <c r="I262" s="393">
        <f t="shared" si="40"/>
        <v>1.1305300417787592</v>
      </c>
    </row>
    <row r="263" spans="1:9" ht="44.25" customHeight="1">
      <c r="A263" s="2607"/>
      <c r="B263" s="2586"/>
      <c r="C263" s="673" t="s">
        <v>400</v>
      </c>
      <c r="D263" s="2603">
        <v>6257</v>
      </c>
      <c r="E263" s="392">
        <v>424248253</v>
      </c>
      <c r="F263" s="392">
        <v>150806727</v>
      </c>
      <c r="G263" s="392">
        <f>16066544+123874973</f>
        <v>139941517</v>
      </c>
      <c r="H263" s="392">
        <f>F263+G263</f>
        <v>290748244</v>
      </c>
      <c r="I263" s="393">
        <f t="shared" si="40"/>
        <v>0.68532573073435854</v>
      </c>
    </row>
    <row r="264" spans="1:9" ht="56.25" customHeight="1">
      <c r="A264" s="2607"/>
      <c r="B264" s="2586"/>
      <c r="C264" s="674" t="s">
        <v>402</v>
      </c>
      <c r="D264" s="2604"/>
      <c r="E264" s="392">
        <v>9494441</v>
      </c>
      <c r="F264" s="392">
        <v>22859706</v>
      </c>
      <c r="G264" s="392">
        <v>-4544510</v>
      </c>
      <c r="H264" s="392">
        <f t="shared" si="44"/>
        <v>18315196</v>
      </c>
      <c r="I264" s="393">
        <f t="shared" si="40"/>
        <v>1.9290441638428213</v>
      </c>
    </row>
    <row r="265" spans="1:9" ht="51" hidden="1" customHeight="1">
      <c r="A265" s="2607"/>
      <c r="B265" s="2586"/>
      <c r="C265" s="675" t="s">
        <v>404</v>
      </c>
      <c r="D265" s="2603">
        <v>6259</v>
      </c>
      <c r="E265" s="445">
        <v>0</v>
      </c>
      <c r="F265" s="445">
        <v>0</v>
      </c>
      <c r="G265" s="445"/>
      <c r="H265" s="445">
        <f t="shared" si="44"/>
        <v>0</v>
      </c>
      <c r="I265" s="446"/>
    </row>
    <row r="266" spans="1:9" ht="48" customHeight="1" thickBot="1">
      <c r="A266" s="2607"/>
      <c r="B266" s="2612"/>
      <c r="C266" s="166" t="s">
        <v>405</v>
      </c>
      <c r="D266" s="2632"/>
      <c r="E266" s="491">
        <v>35322016</v>
      </c>
      <c r="F266" s="491">
        <v>534396</v>
      </c>
      <c r="G266" s="491">
        <v>8422611</v>
      </c>
      <c r="H266" s="491">
        <f t="shared" si="44"/>
        <v>8957007</v>
      </c>
      <c r="I266" s="492">
        <f t="shared" si="40"/>
        <v>0.25358142072071993</v>
      </c>
    </row>
    <row r="267" spans="1:9" ht="29.25" customHeight="1" thickBot="1">
      <c r="A267" s="2607"/>
      <c r="B267" s="665">
        <v>75864</v>
      </c>
      <c r="C267" s="645" t="s">
        <v>406</v>
      </c>
      <c r="D267" s="666"/>
      <c r="E267" s="440">
        <f t="shared" ref="E267:F267" si="53">SUM(E268,E274)</f>
        <v>92792932</v>
      </c>
      <c r="F267" s="440">
        <f t="shared" si="53"/>
        <v>77242234</v>
      </c>
      <c r="G267" s="440">
        <f>G268+G274</f>
        <v>3471892</v>
      </c>
      <c r="H267" s="440">
        <f t="shared" si="44"/>
        <v>80714126</v>
      </c>
      <c r="I267" s="441">
        <f t="shared" ref="I267:I330" si="54">H267/E267</f>
        <v>0.86983053838626412</v>
      </c>
    </row>
    <row r="268" spans="1:9">
      <c r="A268" s="2607"/>
      <c r="B268" s="2574" t="s">
        <v>231</v>
      </c>
      <c r="C268" s="2597"/>
      <c r="D268" s="676"/>
      <c r="E268" s="389">
        <f>SUM(E269:E273)</f>
        <v>91410083</v>
      </c>
      <c r="F268" s="389">
        <f>SUM(F269:F273)</f>
        <v>76090234</v>
      </c>
      <c r="G268" s="389">
        <f>SUM(G269:G273)</f>
        <v>3525392</v>
      </c>
      <c r="H268" s="402">
        <f t="shared" si="44"/>
        <v>79615626</v>
      </c>
      <c r="I268" s="390">
        <f t="shared" si="54"/>
        <v>0.87097203489028663</v>
      </c>
    </row>
    <row r="269" spans="1:9" s="514" customFormat="1" ht="42.75" hidden="1" customHeight="1">
      <c r="A269" s="2607"/>
      <c r="B269" s="2602"/>
      <c r="C269" s="677" t="s">
        <v>400</v>
      </c>
      <c r="D269" s="678">
        <v>2007</v>
      </c>
      <c r="E269" s="392">
        <v>1530548</v>
      </c>
      <c r="F269" s="392">
        <v>0</v>
      </c>
      <c r="G269" s="392"/>
      <c r="H269" s="392">
        <f t="shared" si="44"/>
        <v>0</v>
      </c>
      <c r="I269" s="393">
        <f t="shared" si="54"/>
        <v>0</v>
      </c>
    </row>
    <row r="270" spans="1:9" s="514" customFormat="1" ht="43.5" customHeight="1">
      <c r="A270" s="2607"/>
      <c r="B270" s="2586"/>
      <c r="C270" s="679" t="s">
        <v>407</v>
      </c>
      <c r="D270" s="669">
        <v>2009</v>
      </c>
      <c r="E270" s="419">
        <v>41268048</v>
      </c>
      <c r="F270" s="419">
        <v>32135801</v>
      </c>
      <c r="G270" s="419"/>
      <c r="H270" s="419">
        <f t="shared" si="44"/>
        <v>32135801</v>
      </c>
      <c r="I270" s="420">
        <f t="shared" si="54"/>
        <v>0.77870901478063614</v>
      </c>
    </row>
    <row r="271" spans="1:9" s="514" customFormat="1" ht="42.75" customHeight="1">
      <c r="A271" s="2607"/>
      <c r="B271" s="2586"/>
      <c r="C271" s="680" t="s">
        <v>400</v>
      </c>
      <c r="D271" s="670">
        <v>2057</v>
      </c>
      <c r="E271" s="392">
        <v>5186560</v>
      </c>
      <c r="F271" s="392">
        <v>2332368</v>
      </c>
      <c r="G271" s="392"/>
      <c r="H271" s="392">
        <f t="shared" si="44"/>
        <v>2332368</v>
      </c>
      <c r="I271" s="393">
        <f t="shared" si="54"/>
        <v>0.44969459526159922</v>
      </c>
    </row>
    <row r="272" spans="1:9" ht="42" customHeight="1">
      <c r="A272" s="2607"/>
      <c r="B272" s="2586"/>
      <c r="C272" s="681" t="s">
        <v>408</v>
      </c>
      <c r="D272" s="682">
        <v>2058</v>
      </c>
      <c r="E272" s="419">
        <v>42579324</v>
      </c>
      <c r="F272" s="419">
        <v>41472866</v>
      </c>
      <c r="G272" s="419">
        <v>3525392</v>
      </c>
      <c r="H272" s="419">
        <f t="shared" si="44"/>
        <v>44998258</v>
      </c>
      <c r="I272" s="420">
        <f t="shared" si="54"/>
        <v>1.0568100611461093</v>
      </c>
    </row>
    <row r="273" spans="1:9" ht="42" customHeight="1">
      <c r="A273" s="2607"/>
      <c r="B273" s="2586"/>
      <c r="C273" s="681" t="s">
        <v>409</v>
      </c>
      <c r="D273" s="683">
        <v>2059</v>
      </c>
      <c r="E273" s="392">
        <v>845603</v>
      </c>
      <c r="F273" s="392">
        <v>149199</v>
      </c>
      <c r="G273" s="392"/>
      <c r="H273" s="392">
        <f t="shared" si="44"/>
        <v>149199</v>
      </c>
      <c r="I273" s="393">
        <f t="shared" si="54"/>
        <v>0.17644095397012546</v>
      </c>
    </row>
    <row r="274" spans="1:9">
      <c r="A274" s="2607"/>
      <c r="B274" s="2590" t="s">
        <v>242</v>
      </c>
      <c r="C274" s="2591"/>
      <c r="D274" s="684"/>
      <c r="E274" s="477">
        <f>SUM(E275:E276)</f>
        <v>1382849</v>
      </c>
      <c r="F274" s="477">
        <f>SUM(F275:F276)</f>
        <v>1152000</v>
      </c>
      <c r="G274" s="477">
        <f>G276</f>
        <v>-53500</v>
      </c>
      <c r="H274" s="477">
        <f t="shared" si="44"/>
        <v>1098500</v>
      </c>
      <c r="I274" s="478">
        <f t="shared" si="54"/>
        <v>0.79437451232925649</v>
      </c>
    </row>
    <row r="275" spans="1:9" s="514" customFormat="1" ht="48.75" customHeight="1">
      <c r="A275" s="2607"/>
      <c r="B275" s="685"/>
      <c r="C275" s="672" t="s">
        <v>407</v>
      </c>
      <c r="D275" s="670">
        <v>6209</v>
      </c>
      <c r="E275" s="392">
        <v>1255349</v>
      </c>
      <c r="F275" s="392">
        <v>852000</v>
      </c>
      <c r="G275" s="392"/>
      <c r="H275" s="392">
        <f t="shared" si="44"/>
        <v>852000</v>
      </c>
      <c r="I275" s="393">
        <f t="shared" si="54"/>
        <v>0.67869572525249955</v>
      </c>
    </row>
    <row r="276" spans="1:9" s="514" customFormat="1" ht="42" customHeight="1" thickBot="1">
      <c r="A276" s="2607"/>
      <c r="B276" s="686"/>
      <c r="C276" s="687" t="s">
        <v>410</v>
      </c>
      <c r="D276" s="678">
        <v>6258</v>
      </c>
      <c r="E276" s="392">
        <v>127500</v>
      </c>
      <c r="F276" s="392">
        <v>300000</v>
      </c>
      <c r="G276" s="392">
        <v>-53500</v>
      </c>
      <c r="H276" s="392">
        <f t="shared" si="44"/>
        <v>246500</v>
      </c>
      <c r="I276" s="393">
        <f t="shared" si="54"/>
        <v>1.9333333333333333</v>
      </c>
    </row>
    <row r="277" spans="1:9" s="690" customFormat="1" ht="16.5" customHeight="1" thickBot="1">
      <c r="A277" s="640">
        <v>801</v>
      </c>
      <c r="B277" s="688"/>
      <c r="C277" s="642" t="s">
        <v>411</v>
      </c>
      <c r="D277" s="689"/>
      <c r="E277" s="381">
        <f>SUM(E278,E286,E291,E300,E282,E307)</f>
        <v>2070955</v>
      </c>
      <c r="F277" s="381">
        <f>SUM(F278,F286,F291,F300,F282,F307)</f>
        <v>39790</v>
      </c>
      <c r="G277" s="381">
        <f>G291+G307</f>
        <v>185210</v>
      </c>
      <c r="H277" s="381">
        <f t="shared" si="44"/>
        <v>225000</v>
      </c>
      <c r="I277" s="382">
        <f t="shared" si="54"/>
        <v>0.10864552827077363</v>
      </c>
    </row>
    <row r="278" spans="1:9" s="694" customFormat="1" ht="15.75" thickBot="1">
      <c r="A278" s="2626"/>
      <c r="B278" s="691">
        <v>80102</v>
      </c>
      <c r="C278" s="692" t="s">
        <v>412</v>
      </c>
      <c r="D278" s="693"/>
      <c r="E278" s="386">
        <f>SUM(E279,E281)</f>
        <v>2500</v>
      </c>
      <c r="F278" s="386">
        <f>SUM(F279,F281)</f>
        <v>2500</v>
      </c>
      <c r="G278" s="386"/>
      <c r="H278" s="386">
        <f t="shared" si="44"/>
        <v>2500</v>
      </c>
      <c r="I278" s="387">
        <f t="shared" si="54"/>
        <v>1</v>
      </c>
    </row>
    <row r="279" spans="1:9">
      <c r="A279" s="2592"/>
      <c r="B279" s="2593" t="s">
        <v>231</v>
      </c>
      <c r="C279" s="2593"/>
      <c r="D279" s="676"/>
      <c r="E279" s="389">
        <f>SUM(E280:E280)</f>
        <v>2500</v>
      </c>
      <c r="F279" s="389">
        <f>SUM(F280:F280)</f>
        <v>2500</v>
      </c>
      <c r="G279" s="389"/>
      <c r="H279" s="389">
        <f t="shared" si="44"/>
        <v>2500</v>
      </c>
      <c r="I279" s="390">
        <f t="shared" si="54"/>
        <v>1</v>
      </c>
    </row>
    <row r="280" spans="1:9" ht="17.25" customHeight="1">
      <c r="A280" s="2592"/>
      <c r="B280" s="695"/>
      <c r="C280" s="696" t="s">
        <v>413</v>
      </c>
      <c r="D280" s="521" t="s">
        <v>234</v>
      </c>
      <c r="E280" s="392">
        <v>2500</v>
      </c>
      <c r="F280" s="392">
        <v>2500</v>
      </c>
      <c r="G280" s="392"/>
      <c r="H280" s="392">
        <f t="shared" si="44"/>
        <v>2500</v>
      </c>
      <c r="I280" s="393">
        <f t="shared" si="54"/>
        <v>1</v>
      </c>
    </row>
    <row r="281" spans="1:9" ht="15.75" thickBot="1">
      <c r="A281" s="2592"/>
      <c r="B281" s="2576" t="s">
        <v>235</v>
      </c>
      <c r="C281" s="2577"/>
      <c r="D281" s="697"/>
      <c r="E281" s="470">
        <v>0</v>
      </c>
      <c r="F281" s="470">
        <v>0</v>
      </c>
      <c r="G281" s="470"/>
      <c r="H281" s="470">
        <f t="shared" si="44"/>
        <v>0</v>
      </c>
      <c r="I281" s="471"/>
    </row>
    <row r="282" spans="1:9" ht="15.75" hidden="1" customHeight="1" thickBot="1">
      <c r="A282" s="2592"/>
      <c r="B282" s="691">
        <v>80116</v>
      </c>
      <c r="C282" s="692" t="s">
        <v>414</v>
      </c>
      <c r="D282" s="693"/>
      <c r="E282" s="386">
        <f t="shared" ref="E282:F282" si="55">E283+E285</f>
        <v>6480</v>
      </c>
      <c r="F282" s="386">
        <f t="shared" si="55"/>
        <v>0</v>
      </c>
      <c r="G282" s="386"/>
      <c r="H282" s="386">
        <f t="shared" si="44"/>
        <v>0</v>
      </c>
      <c r="I282" s="387">
        <f t="shared" si="54"/>
        <v>0</v>
      </c>
    </row>
    <row r="283" spans="1:9" ht="15" hidden="1" customHeight="1">
      <c r="A283" s="2592"/>
      <c r="B283" s="2593" t="s">
        <v>231</v>
      </c>
      <c r="C283" s="2593"/>
      <c r="D283" s="676"/>
      <c r="E283" s="402">
        <f t="shared" ref="E283:F283" si="56">SUM(E284:E284)</f>
        <v>6480</v>
      </c>
      <c r="F283" s="402">
        <f t="shared" si="56"/>
        <v>0</v>
      </c>
      <c r="G283" s="402"/>
      <c r="H283" s="402">
        <f t="shared" si="44"/>
        <v>0</v>
      </c>
      <c r="I283" s="403">
        <f t="shared" si="54"/>
        <v>0</v>
      </c>
    </row>
    <row r="284" spans="1:9" ht="33" hidden="1" customHeight="1">
      <c r="A284" s="2592"/>
      <c r="B284" s="698"/>
      <c r="C284" s="699" t="s">
        <v>347</v>
      </c>
      <c r="D284" s="683">
        <v>2230</v>
      </c>
      <c r="E284" s="406">
        <v>6480</v>
      </c>
      <c r="F284" s="406">
        <v>0</v>
      </c>
      <c r="G284" s="406"/>
      <c r="H284" s="406">
        <f t="shared" ref="H284:H347" si="57">F284+G284</f>
        <v>0</v>
      </c>
      <c r="I284" s="620">
        <f t="shared" si="54"/>
        <v>0</v>
      </c>
    </row>
    <row r="285" spans="1:9" ht="15.75" hidden="1" customHeight="1" thickBot="1">
      <c r="A285" s="2592"/>
      <c r="B285" s="2588" t="s">
        <v>235</v>
      </c>
      <c r="C285" s="2589"/>
      <c r="D285" s="700"/>
      <c r="E285" s="458">
        <v>0</v>
      </c>
      <c r="F285" s="458">
        <v>0</v>
      </c>
      <c r="G285" s="458"/>
      <c r="H285" s="458">
        <f t="shared" si="57"/>
        <v>0</v>
      </c>
      <c r="I285" s="459"/>
    </row>
    <row r="286" spans="1:9" s="694" customFormat="1" ht="15.75" thickBot="1">
      <c r="A286" s="2592"/>
      <c r="B286" s="701">
        <v>80130</v>
      </c>
      <c r="C286" s="692" t="s">
        <v>415</v>
      </c>
      <c r="D286" s="693"/>
      <c r="E286" s="440">
        <f>SUM(E287,E290)</f>
        <v>6330</v>
      </c>
      <c r="F286" s="440">
        <f>SUM(F287,F290)</f>
        <v>6400</v>
      </c>
      <c r="G286" s="440"/>
      <c r="H286" s="440">
        <f t="shared" si="57"/>
        <v>6400</v>
      </c>
      <c r="I286" s="441">
        <f t="shared" si="54"/>
        <v>1.0110584518167456</v>
      </c>
    </row>
    <row r="287" spans="1:9">
      <c r="A287" s="2592"/>
      <c r="B287" s="2593" t="s">
        <v>231</v>
      </c>
      <c r="C287" s="2593"/>
      <c r="D287" s="667"/>
      <c r="E287" s="389">
        <f>SUM(E288:E289)</f>
        <v>6330</v>
      </c>
      <c r="F287" s="389">
        <f>SUM(F288:F289)</f>
        <v>6400</v>
      </c>
      <c r="G287" s="389"/>
      <c r="H287" s="389">
        <f t="shared" si="57"/>
        <v>6400</v>
      </c>
      <c r="I287" s="390">
        <f t="shared" si="54"/>
        <v>1.0110584518167456</v>
      </c>
    </row>
    <row r="288" spans="1:9">
      <c r="A288" s="2592"/>
      <c r="B288" s="2586"/>
      <c r="C288" s="2617" t="s">
        <v>413</v>
      </c>
      <c r="D288" s="521" t="s">
        <v>239</v>
      </c>
      <c r="E288" s="411">
        <v>0</v>
      </c>
      <c r="F288" s="392">
        <v>2000</v>
      </c>
      <c r="G288" s="392"/>
      <c r="H288" s="392">
        <f t="shared" si="57"/>
        <v>2000</v>
      </c>
      <c r="I288" s="393"/>
    </row>
    <row r="289" spans="1:9" ht="15" customHeight="1">
      <c r="A289" s="2592"/>
      <c r="B289" s="2586"/>
      <c r="C289" s="2621"/>
      <c r="D289" s="521" t="s">
        <v>234</v>
      </c>
      <c r="E289" s="392">
        <v>6330</v>
      </c>
      <c r="F289" s="392">
        <v>4400</v>
      </c>
      <c r="G289" s="392"/>
      <c r="H289" s="392">
        <f t="shared" si="57"/>
        <v>4400</v>
      </c>
      <c r="I289" s="393">
        <f t="shared" si="54"/>
        <v>0.69510268562401267</v>
      </c>
    </row>
    <row r="290" spans="1:9" ht="15.75" thickBot="1">
      <c r="A290" s="2592"/>
      <c r="B290" s="2591" t="s">
        <v>235</v>
      </c>
      <c r="C290" s="2591"/>
      <c r="D290" s="702"/>
      <c r="E290" s="477">
        <v>0</v>
      </c>
      <c r="F290" s="477">
        <v>0</v>
      </c>
      <c r="G290" s="477"/>
      <c r="H290" s="477">
        <f t="shared" si="57"/>
        <v>0</v>
      </c>
      <c r="I290" s="478"/>
    </row>
    <row r="291" spans="1:9" ht="15.75" thickBot="1">
      <c r="A291" s="2592"/>
      <c r="B291" s="691">
        <v>80146</v>
      </c>
      <c r="C291" s="692" t="s">
        <v>416</v>
      </c>
      <c r="D291" s="693"/>
      <c r="E291" s="386">
        <f>SUM(E292,E299)</f>
        <v>308391</v>
      </c>
      <c r="F291" s="386">
        <f>SUM(F292,F299)</f>
        <v>0</v>
      </c>
      <c r="G291" s="386">
        <f>G292</f>
        <v>124809</v>
      </c>
      <c r="H291" s="386">
        <f t="shared" si="57"/>
        <v>124809</v>
      </c>
      <c r="I291" s="387">
        <f t="shared" si="54"/>
        <v>0.40471025419029738</v>
      </c>
    </row>
    <row r="292" spans="1:9">
      <c r="A292" s="2592"/>
      <c r="B292" s="2574" t="s">
        <v>231</v>
      </c>
      <c r="C292" s="2597"/>
      <c r="D292" s="703"/>
      <c r="E292" s="402">
        <f t="shared" ref="E292:F292" si="58">SUM(E293:E298)</f>
        <v>308391</v>
      </c>
      <c r="F292" s="402">
        <f t="shared" si="58"/>
        <v>0</v>
      </c>
      <c r="G292" s="402">
        <f>G295+G298</f>
        <v>124809</v>
      </c>
      <c r="H292" s="402">
        <f t="shared" si="57"/>
        <v>124809</v>
      </c>
      <c r="I292" s="403">
        <f t="shared" si="54"/>
        <v>0.40471025419029738</v>
      </c>
    </row>
    <row r="293" spans="1:9" ht="51.75" hidden="1" customHeight="1">
      <c r="A293" s="2592"/>
      <c r="B293" s="2586"/>
      <c r="C293" s="704" t="s">
        <v>417</v>
      </c>
      <c r="D293" s="2623" t="s">
        <v>418</v>
      </c>
      <c r="E293" s="406">
        <v>134849</v>
      </c>
      <c r="F293" s="406">
        <v>0</v>
      </c>
      <c r="G293" s="406"/>
      <c r="H293" s="406">
        <f t="shared" si="57"/>
        <v>0</v>
      </c>
      <c r="I293" s="620">
        <f t="shared" si="54"/>
        <v>0</v>
      </c>
    </row>
    <row r="294" spans="1:9" ht="55.5" hidden="1" customHeight="1">
      <c r="A294" s="2592"/>
      <c r="B294" s="2586"/>
      <c r="C294" s="705" t="s">
        <v>419</v>
      </c>
      <c r="D294" s="2624"/>
      <c r="E294" s="406">
        <v>138412</v>
      </c>
      <c r="F294" s="406">
        <v>0</v>
      </c>
      <c r="G294" s="406"/>
      <c r="H294" s="406">
        <f t="shared" si="57"/>
        <v>0</v>
      </c>
      <c r="I294" s="620">
        <f t="shared" si="54"/>
        <v>0</v>
      </c>
    </row>
    <row r="295" spans="1:9" ht="55.5" customHeight="1">
      <c r="A295" s="2592"/>
      <c r="B295" s="2586"/>
      <c r="C295" s="705" t="s">
        <v>420</v>
      </c>
      <c r="D295" s="2625"/>
      <c r="E295" s="406">
        <v>0</v>
      </c>
      <c r="F295" s="406">
        <v>0</v>
      </c>
      <c r="G295" s="406">
        <v>111185</v>
      </c>
      <c r="H295" s="406">
        <f t="shared" si="57"/>
        <v>111185</v>
      </c>
      <c r="I295" s="620"/>
    </row>
    <row r="296" spans="1:9" ht="52.5" hidden="1" customHeight="1">
      <c r="A296" s="2592"/>
      <c r="B296" s="2586"/>
      <c r="C296" s="706" t="s">
        <v>421</v>
      </c>
      <c r="D296" s="2623" t="s">
        <v>328</v>
      </c>
      <c r="E296" s="411">
        <v>17165</v>
      </c>
      <c r="F296" s="411">
        <v>0</v>
      </c>
      <c r="G296" s="411"/>
      <c r="H296" s="411">
        <f t="shared" si="57"/>
        <v>0</v>
      </c>
      <c r="I296" s="607">
        <f t="shared" si="54"/>
        <v>0</v>
      </c>
    </row>
    <row r="297" spans="1:9" ht="56.25" hidden="1" customHeight="1">
      <c r="A297" s="2592"/>
      <c r="B297" s="2586"/>
      <c r="C297" s="707" t="s">
        <v>422</v>
      </c>
      <c r="D297" s="2624"/>
      <c r="E297" s="411">
        <v>17965</v>
      </c>
      <c r="F297" s="411">
        <v>0</v>
      </c>
      <c r="G297" s="411"/>
      <c r="H297" s="411">
        <f t="shared" si="57"/>
        <v>0</v>
      </c>
      <c r="I297" s="607">
        <f t="shared" si="54"/>
        <v>0</v>
      </c>
    </row>
    <row r="298" spans="1:9" ht="56.25" customHeight="1">
      <c r="A298" s="2592"/>
      <c r="B298" s="708"/>
      <c r="C298" s="707" t="s">
        <v>423</v>
      </c>
      <c r="D298" s="2625"/>
      <c r="E298" s="481">
        <v>0</v>
      </c>
      <c r="F298" s="481">
        <v>0</v>
      </c>
      <c r="G298" s="481">
        <v>13624</v>
      </c>
      <c r="H298" s="481">
        <f t="shared" si="57"/>
        <v>13624</v>
      </c>
      <c r="I298" s="600"/>
    </row>
    <row r="299" spans="1:9" ht="16.5" customHeight="1" thickBot="1">
      <c r="A299" s="2592"/>
      <c r="B299" s="2576" t="s">
        <v>235</v>
      </c>
      <c r="C299" s="2609"/>
      <c r="D299" s="709"/>
      <c r="E299" s="396">
        <v>0</v>
      </c>
      <c r="F299" s="396">
        <v>0</v>
      </c>
      <c r="G299" s="396"/>
      <c r="H299" s="396">
        <f t="shared" si="57"/>
        <v>0</v>
      </c>
      <c r="I299" s="397"/>
    </row>
    <row r="300" spans="1:9" s="694" customFormat="1" ht="15.75" thickBot="1">
      <c r="A300" s="2592"/>
      <c r="B300" s="691">
        <v>80147</v>
      </c>
      <c r="C300" s="692" t="s">
        <v>424</v>
      </c>
      <c r="D300" s="693"/>
      <c r="E300" s="386">
        <f>SUM(E301,E306)</f>
        <v>122890</v>
      </c>
      <c r="F300" s="386">
        <f>SUM(F301,F306)</f>
        <v>30890</v>
      </c>
      <c r="G300" s="386"/>
      <c r="H300" s="386">
        <f t="shared" si="57"/>
        <v>30890</v>
      </c>
      <c r="I300" s="387">
        <f t="shared" si="54"/>
        <v>0.25136300756774349</v>
      </c>
    </row>
    <row r="301" spans="1:9" ht="18" customHeight="1">
      <c r="A301" s="2592"/>
      <c r="B301" s="2593" t="s">
        <v>231</v>
      </c>
      <c r="C301" s="2610"/>
      <c r="D301" s="667"/>
      <c r="E301" s="389">
        <f>SUM(E302:E305)</f>
        <v>122890</v>
      </c>
      <c r="F301" s="389">
        <f>SUM(F302:F305)</f>
        <v>30890</v>
      </c>
      <c r="G301" s="389"/>
      <c r="H301" s="389">
        <f t="shared" si="57"/>
        <v>30890</v>
      </c>
      <c r="I301" s="390">
        <f t="shared" si="54"/>
        <v>0.25136300756774349</v>
      </c>
    </row>
    <row r="302" spans="1:9" ht="16.5" customHeight="1">
      <c r="A302" s="2592"/>
      <c r="B302" s="2602"/>
      <c r="C302" s="2627" t="s">
        <v>425</v>
      </c>
      <c r="D302" s="521" t="s">
        <v>233</v>
      </c>
      <c r="E302" s="445">
        <v>4000</v>
      </c>
      <c r="F302" s="445">
        <v>4000</v>
      </c>
      <c r="G302" s="445"/>
      <c r="H302" s="445">
        <f t="shared" si="57"/>
        <v>4000</v>
      </c>
      <c r="I302" s="446">
        <f t="shared" si="54"/>
        <v>1</v>
      </c>
    </row>
    <row r="303" spans="1:9" ht="17.25" customHeight="1">
      <c r="A303" s="2592"/>
      <c r="B303" s="2586"/>
      <c r="C303" s="2628"/>
      <c r="D303" s="521" t="s">
        <v>239</v>
      </c>
      <c r="E303" s="445">
        <v>500</v>
      </c>
      <c r="F303" s="445">
        <v>500</v>
      </c>
      <c r="G303" s="445"/>
      <c r="H303" s="445">
        <f t="shared" si="57"/>
        <v>500</v>
      </c>
      <c r="I303" s="446">
        <f t="shared" si="54"/>
        <v>1</v>
      </c>
    </row>
    <row r="304" spans="1:9" ht="15" customHeight="1">
      <c r="A304" s="2592"/>
      <c r="B304" s="2586"/>
      <c r="C304" s="2629"/>
      <c r="D304" s="521" t="s">
        <v>234</v>
      </c>
      <c r="E304" s="392">
        <v>26390</v>
      </c>
      <c r="F304" s="392">
        <v>26390</v>
      </c>
      <c r="G304" s="392"/>
      <c r="H304" s="392">
        <f t="shared" si="57"/>
        <v>26390</v>
      </c>
      <c r="I304" s="393">
        <f t="shared" si="54"/>
        <v>1</v>
      </c>
    </row>
    <row r="305" spans="1:9" ht="27.75" hidden="1" customHeight="1">
      <c r="A305" s="2592"/>
      <c r="B305" s="710"/>
      <c r="C305" s="711" t="s">
        <v>347</v>
      </c>
      <c r="D305" s="712" t="s">
        <v>294</v>
      </c>
      <c r="E305" s="445">
        <v>92000</v>
      </c>
      <c r="F305" s="445">
        <v>0</v>
      </c>
      <c r="G305" s="445"/>
      <c r="H305" s="445">
        <f t="shared" si="57"/>
        <v>0</v>
      </c>
      <c r="I305" s="446">
        <f t="shared" si="54"/>
        <v>0</v>
      </c>
    </row>
    <row r="306" spans="1:9" ht="15.75" thickBot="1">
      <c r="A306" s="2592"/>
      <c r="B306" s="2576" t="s">
        <v>235</v>
      </c>
      <c r="C306" s="2577"/>
      <c r="D306" s="709"/>
      <c r="E306" s="396">
        <v>0</v>
      </c>
      <c r="F306" s="396">
        <v>0</v>
      </c>
      <c r="G306" s="396"/>
      <c r="H306" s="396">
        <f t="shared" si="57"/>
        <v>0</v>
      </c>
      <c r="I306" s="397"/>
    </row>
    <row r="307" spans="1:9" ht="15.75" thickBot="1">
      <c r="A307" s="713"/>
      <c r="B307" s="691">
        <v>80195</v>
      </c>
      <c r="C307" s="692" t="s">
        <v>254</v>
      </c>
      <c r="D307" s="693"/>
      <c r="E307" s="386">
        <f>SUM(E308,E314)</f>
        <v>1624364</v>
      </c>
      <c r="F307" s="386">
        <f>SUM(F308,F314)</f>
        <v>0</v>
      </c>
      <c r="G307" s="386">
        <f>G308</f>
        <v>60401</v>
      </c>
      <c r="H307" s="386">
        <f t="shared" si="57"/>
        <v>60401</v>
      </c>
      <c r="I307" s="387">
        <f t="shared" si="54"/>
        <v>3.7184399555764594E-2</v>
      </c>
    </row>
    <row r="308" spans="1:9">
      <c r="A308" s="713"/>
      <c r="B308" s="2593" t="s">
        <v>231</v>
      </c>
      <c r="C308" s="2610"/>
      <c r="D308" s="714"/>
      <c r="E308" s="389">
        <f>SUM(E309:E313)</f>
        <v>1606530</v>
      </c>
      <c r="F308" s="389">
        <f>SUM(F309:F313)</f>
        <v>0</v>
      </c>
      <c r="G308" s="389">
        <f>SUM(G309:G313)</f>
        <v>60401</v>
      </c>
      <c r="H308" s="389">
        <f t="shared" si="57"/>
        <v>60401</v>
      </c>
      <c r="I308" s="390">
        <f t="shared" si="54"/>
        <v>3.759718150299092E-2</v>
      </c>
    </row>
    <row r="309" spans="1:9" ht="25.5" hidden="1">
      <c r="A309" s="713"/>
      <c r="B309" s="2586"/>
      <c r="C309" s="715" t="s">
        <v>426</v>
      </c>
      <c r="D309" s="521" t="s">
        <v>427</v>
      </c>
      <c r="E309" s="445">
        <v>28279</v>
      </c>
      <c r="F309" s="445">
        <v>0</v>
      </c>
      <c r="G309" s="445"/>
      <c r="H309" s="445">
        <f t="shared" si="57"/>
        <v>0</v>
      </c>
      <c r="I309" s="446">
        <f t="shared" si="54"/>
        <v>0</v>
      </c>
    </row>
    <row r="310" spans="1:9" ht="43.5" hidden="1" customHeight="1">
      <c r="A310" s="713"/>
      <c r="B310" s="2586"/>
      <c r="C310" s="715" t="s">
        <v>428</v>
      </c>
      <c r="D310" s="2619" t="s">
        <v>429</v>
      </c>
      <c r="E310" s="392">
        <v>19538</v>
      </c>
      <c r="F310" s="392">
        <v>0</v>
      </c>
      <c r="G310" s="392"/>
      <c r="H310" s="392">
        <f t="shared" si="57"/>
        <v>0</v>
      </c>
      <c r="I310" s="393">
        <f t="shared" si="54"/>
        <v>0</v>
      </c>
    </row>
    <row r="311" spans="1:9" ht="33" customHeight="1">
      <c r="A311" s="713"/>
      <c r="B311" s="710"/>
      <c r="C311" s="715" t="s">
        <v>430</v>
      </c>
      <c r="D311" s="2620"/>
      <c r="E311" s="445">
        <v>0</v>
      </c>
      <c r="F311" s="445">
        <v>0</v>
      </c>
      <c r="G311" s="445">
        <v>60401</v>
      </c>
      <c r="H311" s="445">
        <f t="shared" si="57"/>
        <v>60401</v>
      </c>
      <c r="I311" s="446"/>
    </row>
    <row r="312" spans="1:9" ht="51" hidden="1">
      <c r="A312" s="713"/>
      <c r="B312" s="710"/>
      <c r="C312" s="716" t="s">
        <v>270</v>
      </c>
      <c r="D312" s="712" t="s">
        <v>431</v>
      </c>
      <c r="E312" s="445">
        <v>454</v>
      </c>
      <c r="F312" s="445">
        <v>0</v>
      </c>
      <c r="G312" s="445"/>
      <c r="H312" s="445">
        <f t="shared" si="57"/>
        <v>0</v>
      </c>
      <c r="I312" s="446">
        <f t="shared" si="54"/>
        <v>0</v>
      </c>
    </row>
    <row r="313" spans="1:9" ht="38.25" hidden="1">
      <c r="A313" s="713"/>
      <c r="B313" s="710"/>
      <c r="C313" s="716" t="s">
        <v>272</v>
      </c>
      <c r="D313" s="521" t="s">
        <v>432</v>
      </c>
      <c r="E313" s="392">
        <v>1558259</v>
      </c>
      <c r="F313" s="392">
        <v>0</v>
      </c>
      <c r="G313" s="392"/>
      <c r="H313" s="392">
        <f t="shared" si="57"/>
        <v>0</v>
      </c>
      <c r="I313" s="393">
        <f t="shared" si="54"/>
        <v>0</v>
      </c>
    </row>
    <row r="314" spans="1:9" ht="15.75" thickBot="1">
      <c r="A314" s="713"/>
      <c r="B314" s="2588" t="s">
        <v>242</v>
      </c>
      <c r="C314" s="2589"/>
      <c r="D314" s="717"/>
      <c r="E314" s="458">
        <f t="shared" ref="E314:F314" si="59">E315</f>
        <v>17834</v>
      </c>
      <c r="F314" s="458">
        <f t="shared" si="59"/>
        <v>0</v>
      </c>
      <c r="G314" s="458"/>
      <c r="H314" s="458">
        <f t="shared" si="57"/>
        <v>0</v>
      </c>
      <c r="I314" s="459">
        <f t="shared" si="54"/>
        <v>0</v>
      </c>
    </row>
    <row r="315" spans="1:9" ht="39" hidden="1" thickBot="1">
      <c r="A315" s="713"/>
      <c r="B315" s="718"/>
      <c r="C315" s="719" t="s">
        <v>272</v>
      </c>
      <c r="D315" s="720" t="s">
        <v>433</v>
      </c>
      <c r="E315" s="490">
        <v>17834</v>
      </c>
      <c r="F315" s="490">
        <v>0</v>
      </c>
      <c r="G315" s="490"/>
      <c r="H315" s="490">
        <f t="shared" si="57"/>
        <v>0</v>
      </c>
      <c r="I315" s="611">
        <f t="shared" si="54"/>
        <v>0</v>
      </c>
    </row>
    <row r="316" spans="1:9" s="690" customFormat="1" ht="16.5" hidden="1" customHeight="1" thickBot="1">
      <c r="A316" s="640">
        <v>803</v>
      </c>
      <c r="B316" s="688"/>
      <c r="C316" s="642" t="s">
        <v>434</v>
      </c>
      <c r="D316" s="689"/>
      <c r="E316" s="381">
        <f t="shared" ref="E316:F316" si="60">E317</f>
        <v>6565</v>
      </c>
      <c r="F316" s="381">
        <f t="shared" si="60"/>
        <v>0</v>
      </c>
      <c r="G316" s="381"/>
      <c r="H316" s="381">
        <f t="shared" si="57"/>
        <v>0</v>
      </c>
      <c r="I316" s="382">
        <f t="shared" si="54"/>
        <v>0</v>
      </c>
    </row>
    <row r="317" spans="1:9" s="694" customFormat="1" ht="15.75" hidden="1" thickBot="1">
      <c r="A317" s="713"/>
      <c r="B317" s="691">
        <v>80309</v>
      </c>
      <c r="C317" s="692" t="s">
        <v>435</v>
      </c>
      <c r="D317" s="693"/>
      <c r="E317" s="386">
        <f>SUM(E318,E320)</f>
        <v>6565</v>
      </c>
      <c r="F317" s="386">
        <f>SUM(F318,F320)</f>
        <v>0</v>
      </c>
      <c r="G317" s="386"/>
      <c r="H317" s="386">
        <f t="shared" si="57"/>
        <v>0</v>
      </c>
      <c r="I317" s="387">
        <f t="shared" si="54"/>
        <v>0</v>
      </c>
    </row>
    <row r="318" spans="1:9" ht="15.75" hidden="1" thickBot="1">
      <c r="A318" s="713"/>
      <c r="B318" s="2593" t="s">
        <v>231</v>
      </c>
      <c r="C318" s="2593"/>
      <c r="D318" s="676"/>
      <c r="E318" s="389">
        <f>SUM(E319:E319)</f>
        <v>6565</v>
      </c>
      <c r="F318" s="389">
        <f>SUM(F319:F319)</f>
        <v>0</v>
      </c>
      <c r="G318" s="389"/>
      <c r="H318" s="389">
        <f t="shared" si="57"/>
        <v>0</v>
      </c>
      <c r="I318" s="390">
        <f t="shared" si="54"/>
        <v>0</v>
      </c>
    </row>
    <row r="319" spans="1:9" ht="42.75" hidden="1" customHeight="1">
      <c r="A319" s="713"/>
      <c r="B319" s="695"/>
      <c r="C319" s="721" t="s">
        <v>436</v>
      </c>
      <c r="D319" s="521" t="s">
        <v>437</v>
      </c>
      <c r="E319" s="392">
        <v>6565</v>
      </c>
      <c r="F319" s="392">
        <v>0</v>
      </c>
      <c r="G319" s="392"/>
      <c r="H319" s="392">
        <f t="shared" si="57"/>
        <v>0</v>
      </c>
      <c r="I319" s="393">
        <f t="shared" si="54"/>
        <v>0</v>
      </c>
    </row>
    <row r="320" spans="1:9" ht="15.75" hidden="1" thickBot="1">
      <c r="A320" s="713"/>
      <c r="B320" s="2589" t="s">
        <v>235</v>
      </c>
      <c r="C320" s="2589"/>
      <c r="D320" s="700"/>
      <c r="E320" s="477">
        <v>0</v>
      </c>
      <c r="F320" s="477">
        <v>0</v>
      </c>
      <c r="G320" s="477"/>
      <c r="H320" s="477">
        <f t="shared" si="57"/>
        <v>0</v>
      </c>
      <c r="I320" s="478"/>
    </row>
    <row r="321" spans="1:9" s="690" customFormat="1" ht="14.25" customHeight="1" thickBot="1">
      <c r="A321" s="640">
        <v>851</v>
      </c>
      <c r="B321" s="688"/>
      <c r="C321" s="642" t="s">
        <v>438</v>
      </c>
      <c r="D321" s="689"/>
      <c r="E321" s="463">
        <f>E322+E326+E331+E335</f>
        <v>725800</v>
      </c>
      <c r="F321" s="463">
        <f>F322+F326+F331+F335</f>
        <v>0</v>
      </c>
      <c r="G321" s="463">
        <f>G326+G331+G335</f>
        <v>105000</v>
      </c>
      <c r="H321" s="463">
        <f t="shared" si="57"/>
        <v>105000</v>
      </c>
      <c r="I321" s="464">
        <f t="shared" si="54"/>
        <v>0.14466795260402315</v>
      </c>
    </row>
    <row r="322" spans="1:9" s="690" customFormat="1" ht="14.25" hidden="1" customHeight="1" thickBot="1">
      <c r="A322" s="722"/>
      <c r="B322" s="723">
        <v>85111</v>
      </c>
      <c r="C322" s="645" t="s">
        <v>439</v>
      </c>
      <c r="D322" s="666"/>
      <c r="E322" s="386">
        <f>SUM(E323,E324)</f>
        <v>600000</v>
      </c>
      <c r="F322" s="386">
        <f>SUM(F323,F324)</f>
        <v>0</v>
      </c>
      <c r="G322" s="386"/>
      <c r="H322" s="386">
        <f t="shared" si="57"/>
        <v>0</v>
      </c>
      <c r="I322" s="387">
        <f t="shared" si="54"/>
        <v>0</v>
      </c>
    </row>
    <row r="323" spans="1:9" s="690" customFormat="1" ht="13.5" hidden="1" customHeight="1">
      <c r="A323" s="722"/>
      <c r="B323" s="2574" t="s">
        <v>440</v>
      </c>
      <c r="C323" s="2597"/>
      <c r="D323" s="724"/>
      <c r="E323" s="389">
        <v>0</v>
      </c>
      <c r="F323" s="389">
        <v>0</v>
      </c>
      <c r="G323" s="389"/>
      <c r="H323" s="389">
        <f t="shared" si="57"/>
        <v>0</v>
      </c>
      <c r="I323" s="390"/>
    </row>
    <row r="324" spans="1:9" s="690" customFormat="1" ht="14.25" hidden="1" customHeight="1">
      <c r="A324" s="722"/>
      <c r="B324" s="2588" t="s">
        <v>242</v>
      </c>
      <c r="C324" s="2615"/>
      <c r="D324" s="700"/>
      <c r="E324" s="458">
        <f t="shared" ref="E324:F324" si="61">E325</f>
        <v>600000</v>
      </c>
      <c r="F324" s="458">
        <f t="shared" si="61"/>
        <v>0</v>
      </c>
      <c r="G324" s="458"/>
      <c r="H324" s="458">
        <f t="shared" si="57"/>
        <v>0</v>
      </c>
      <c r="I324" s="459">
        <f t="shared" si="54"/>
        <v>0</v>
      </c>
    </row>
    <row r="325" spans="1:9" s="690" customFormat="1" ht="30" hidden="1" customHeight="1" thickBot="1">
      <c r="A325" s="722"/>
      <c r="B325" s="695"/>
      <c r="C325" s="543" t="s">
        <v>441</v>
      </c>
      <c r="D325" s="670">
        <v>6530</v>
      </c>
      <c r="E325" s="411">
        <v>600000</v>
      </c>
      <c r="F325" s="411">
        <v>0</v>
      </c>
      <c r="G325" s="411"/>
      <c r="H325" s="411">
        <f t="shared" si="57"/>
        <v>0</v>
      </c>
      <c r="I325" s="607">
        <f t="shared" si="54"/>
        <v>0</v>
      </c>
    </row>
    <row r="326" spans="1:9" s="690" customFormat="1" ht="15.75" customHeight="1" thickBot="1">
      <c r="A326" s="2579"/>
      <c r="B326" s="665">
        <v>85141</v>
      </c>
      <c r="C326" s="645" t="s">
        <v>442</v>
      </c>
      <c r="D326" s="666"/>
      <c r="E326" s="386">
        <f t="shared" ref="E326:F326" si="62">SUM(E327,E328)</f>
        <v>40000</v>
      </c>
      <c r="F326" s="386">
        <f t="shared" si="62"/>
        <v>0</v>
      </c>
      <c r="G326" s="386">
        <f>G327+G328</f>
        <v>50000</v>
      </c>
      <c r="H326" s="386">
        <f t="shared" si="57"/>
        <v>50000</v>
      </c>
      <c r="I326" s="387">
        <f t="shared" si="54"/>
        <v>1.25</v>
      </c>
    </row>
    <row r="327" spans="1:9" s="690" customFormat="1">
      <c r="A327" s="2579"/>
      <c r="B327" s="2581" t="s">
        <v>440</v>
      </c>
      <c r="C327" s="2622"/>
      <c r="D327" s="667"/>
      <c r="E327" s="389">
        <v>0</v>
      </c>
      <c r="F327" s="389">
        <v>0</v>
      </c>
      <c r="G327" s="389">
        <v>0</v>
      </c>
      <c r="H327" s="389">
        <f t="shared" si="57"/>
        <v>0</v>
      </c>
      <c r="I327" s="390"/>
    </row>
    <row r="328" spans="1:9" s="690" customFormat="1">
      <c r="A328" s="2579"/>
      <c r="B328" s="2588" t="s">
        <v>242</v>
      </c>
      <c r="C328" s="2615"/>
      <c r="D328" s="725"/>
      <c r="E328" s="415">
        <f t="shared" ref="E328:F328" si="63">E329</f>
        <v>40000</v>
      </c>
      <c r="F328" s="415">
        <f t="shared" si="63"/>
        <v>0</v>
      </c>
      <c r="G328" s="415">
        <f>G329</f>
        <v>50000</v>
      </c>
      <c r="H328" s="415">
        <f t="shared" si="57"/>
        <v>50000</v>
      </c>
      <c r="I328" s="416">
        <f t="shared" si="54"/>
        <v>1.25</v>
      </c>
    </row>
    <row r="329" spans="1:9" s="514" customFormat="1" ht="39.75" customHeight="1" thickBot="1">
      <c r="A329" s="726"/>
      <c r="B329" s="727"/>
      <c r="C329" s="543" t="s">
        <v>443</v>
      </c>
      <c r="D329" s="728">
        <v>6510</v>
      </c>
      <c r="E329" s="419">
        <v>40000</v>
      </c>
      <c r="F329" s="419">
        <v>0</v>
      </c>
      <c r="G329" s="419">
        <v>50000</v>
      </c>
      <c r="H329" s="419">
        <f t="shared" si="57"/>
        <v>50000</v>
      </c>
      <c r="I329" s="420">
        <f t="shared" si="54"/>
        <v>1.25</v>
      </c>
    </row>
    <row r="330" spans="1:9" s="514" customFormat="1" ht="0.75" customHeight="1" thickBot="1">
      <c r="A330" s="726"/>
      <c r="B330" s="729">
        <v>85120</v>
      </c>
      <c r="C330" s="659" t="s">
        <v>444</v>
      </c>
      <c r="D330" s="730"/>
      <c r="E330" s="731"/>
      <c r="F330" s="731"/>
      <c r="G330" s="731"/>
      <c r="H330" s="731">
        <f t="shared" si="57"/>
        <v>0</v>
      </c>
      <c r="I330" s="732" t="e">
        <f t="shared" si="54"/>
        <v>#DIV/0!</v>
      </c>
    </row>
    <row r="331" spans="1:9" s="694" customFormat="1" ht="26.25" thickBot="1">
      <c r="A331" s="2579"/>
      <c r="B331" s="729">
        <v>85156</v>
      </c>
      <c r="C331" s="659" t="s">
        <v>445</v>
      </c>
      <c r="D331" s="666"/>
      <c r="E331" s="386">
        <f>SUM(E332,E334)</f>
        <v>27000</v>
      </c>
      <c r="F331" s="386">
        <f>SUM(F332,F334)</f>
        <v>0</v>
      </c>
      <c r="G331" s="386">
        <f>G332+G334</f>
        <v>25000</v>
      </c>
      <c r="H331" s="386">
        <f t="shared" si="57"/>
        <v>25000</v>
      </c>
      <c r="I331" s="387">
        <f t="shared" ref="I331:I394" si="64">H331/E331</f>
        <v>0.92592592592592593</v>
      </c>
    </row>
    <row r="332" spans="1:9" ht="12.75" customHeight="1">
      <c r="A332" s="2579"/>
      <c r="B332" s="2574" t="s">
        <v>231</v>
      </c>
      <c r="C332" s="2597"/>
      <c r="D332" s="724"/>
      <c r="E332" s="389">
        <f t="shared" ref="E332:F332" si="65">SUM(E333)</f>
        <v>27000</v>
      </c>
      <c r="F332" s="389">
        <f t="shared" si="65"/>
        <v>0</v>
      </c>
      <c r="G332" s="389">
        <f>G333</f>
        <v>25000</v>
      </c>
      <c r="H332" s="389">
        <f t="shared" si="57"/>
        <v>25000</v>
      </c>
      <c r="I332" s="390">
        <f t="shared" si="64"/>
        <v>0.92592592592592593</v>
      </c>
    </row>
    <row r="333" spans="1:9" ht="39.75" customHeight="1">
      <c r="A333" s="2579"/>
      <c r="B333" s="733"/>
      <c r="C333" s="734" t="s">
        <v>240</v>
      </c>
      <c r="D333" s="735">
        <v>2210</v>
      </c>
      <c r="E333" s="392">
        <v>27000</v>
      </c>
      <c r="F333" s="392">
        <v>0</v>
      </c>
      <c r="G333" s="392">
        <v>25000</v>
      </c>
      <c r="H333" s="392">
        <f t="shared" si="57"/>
        <v>25000</v>
      </c>
      <c r="I333" s="393">
        <f t="shared" si="64"/>
        <v>0.92592592592592593</v>
      </c>
    </row>
    <row r="334" spans="1:9" ht="15.75" thickBot="1">
      <c r="A334" s="2579"/>
      <c r="B334" s="2576" t="s">
        <v>235</v>
      </c>
      <c r="C334" s="2609"/>
      <c r="D334" s="697"/>
      <c r="E334" s="396">
        <v>0</v>
      </c>
      <c r="F334" s="396">
        <v>0</v>
      </c>
      <c r="G334" s="396"/>
      <c r="H334" s="396">
        <f t="shared" si="57"/>
        <v>0</v>
      </c>
      <c r="I334" s="397"/>
    </row>
    <row r="335" spans="1:9" s="694" customFormat="1" ht="15.75" thickBot="1">
      <c r="A335" s="722"/>
      <c r="B335" s="665">
        <v>85195</v>
      </c>
      <c r="C335" s="645" t="s">
        <v>254</v>
      </c>
      <c r="D335" s="666"/>
      <c r="E335" s="386">
        <f>SUM(E336,E338)</f>
        <v>58800</v>
      </c>
      <c r="F335" s="386">
        <f>SUM(F336,F338)</f>
        <v>0</v>
      </c>
      <c r="G335" s="386">
        <f>G336+G338</f>
        <v>30000</v>
      </c>
      <c r="H335" s="386">
        <f t="shared" si="57"/>
        <v>30000</v>
      </c>
      <c r="I335" s="387">
        <f t="shared" si="64"/>
        <v>0.51020408163265307</v>
      </c>
    </row>
    <row r="336" spans="1:9" ht="12.75" customHeight="1">
      <c r="A336" s="722"/>
      <c r="B336" s="2593" t="s">
        <v>231</v>
      </c>
      <c r="C336" s="2613"/>
      <c r="D336" s="676"/>
      <c r="E336" s="389">
        <f t="shared" ref="E336:F336" si="66">SUM(E337)</f>
        <v>58800</v>
      </c>
      <c r="F336" s="389">
        <f t="shared" si="66"/>
        <v>0</v>
      </c>
      <c r="G336" s="389">
        <f>G337</f>
        <v>30000</v>
      </c>
      <c r="H336" s="389">
        <f t="shared" si="57"/>
        <v>30000</v>
      </c>
      <c r="I336" s="390">
        <f t="shared" si="64"/>
        <v>0.51020408163265307</v>
      </c>
    </row>
    <row r="337" spans="1:9" ht="41.25" customHeight="1">
      <c r="A337" s="722"/>
      <c r="B337" s="736"/>
      <c r="C337" s="737" t="s">
        <v>240</v>
      </c>
      <c r="D337" s="735">
        <v>2210</v>
      </c>
      <c r="E337" s="392">
        <v>58800</v>
      </c>
      <c r="F337" s="392">
        <v>0</v>
      </c>
      <c r="G337" s="392">
        <v>30000</v>
      </c>
      <c r="H337" s="392">
        <f t="shared" si="57"/>
        <v>30000</v>
      </c>
      <c r="I337" s="393">
        <f t="shared" si="64"/>
        <v>0.51020408163265307</v>
      </c>
    </row>
    <row r="338" spans="1:9" ht="15.75" thickBot="1">
      <c r="A338" s="738"/>
      <c r="B338" s="2576" t="s">
        <v>235</v>
      </c>
      <c r="C338" s="2609"/>
      <c r="D338" s="697"/>
      <c r="E338" s="396">
        <v>0</v>
      </c>
      <c r="F338" s="396">
        <v>0</v>
      </c>
      <c r="G338" s="396"/>
      <c r="H338" s="396">
        <f t="shared" si="57"/>
        <v>0</v>
      </c>
      <c r="I338" s="397"/>
    </row>
    <row r="339" spans="1:9" s="690" customFormat="1" ht="15.75" thickBot="1">
      <c r="A339" s="640">
        <v>852</v>
      </c>
      <c r="B339" s="688"/>
      <c r="C339" s="642" t="s">
        <v>446</v>
      </c>
      <c r="D339" s="689"/>
      <c r="E339" s="381">
        <f>SUM(E340,E344,E350)</f>
        <v>4275263</v>
      </c>
      <c r="F339" s="381">
        <f>SUM(F340,F344,F350)</f>
        <v>5137199</v>
      </c>
      <c r="G339" s="381">
        <f>G350</f>
        <v>-182411</v>
      </c>
      <c r="H339" s="381">
        <f t="shared" si="57"/>
        <v>4954788</v>
      </c>
      <c r="I339" s="382">
        <f t="shared" si="64"/>
        <v>1.1589434380995975</v>
      </c>
    </row>
    <row r="340" spans="1:9" s="690" customFormat="1" ht="15.75" thickBot="1">
      <c r="A340" s="739"/>
      <c r="B340" s="665">
        <v>85205</v>
      </c>
      <c r="C340" s="645" t="s">
        <v>447</v>
      </c>
      <c r="D340" s="666"/>
      <c r="E340" s="386">
        <f>SUM(E343,E341)</f>
        <v>50000</v>
      </c>
      <c r="F340" s="386">
        <f>SUM(F343,F341)</f>
        <v>100000</v>
      </c>
      <c r="G340" s="386"/>
      <c r="H340" s="386">
        <f t="shared" si="57"/>
        <v>100000</v>
      </c>
      <c r="I340" s="387">
        <f t="shared" si="64"/>
        <v>2</v>
      </c>
    </row>
    <row r="341" spans="1:9" s="690" customFormat="1">
      <c r="A341" s="722"/>
      <c r="B341" s="2610" t="s">
        <v>231</v>
      </c>
      <c r="C341" s="2614"/>
      <c r="D341" s="667"/>
      <c r="E341" s="389">
        <f>SUM(E342:E342)</f>
        <v>50000</v>
      </c>
      <c r="F341" s="389">
        <f>SUM(F342:F342)</f>
        <v>100000</v>
      </c>
      <c r="G341" s="389"/>
      <c r="H341" s="389">
        <f t="shared" si="57"/>
        <v>100000</v>
      </c>
      <c r="I341" s="390">
        <f t="shared" si="64"/>
        <v>2</v>
      </c>
    </row>
    <row r="342" spans="1:9" s="690" customFormat="1" ht="25.5">
      <c r="A342" s="722"/>
      <c r="B342" s="740"/>
      <c r="C342" s="741" t="s">
        <v>448</v>
      </c>
      <c r="D342" s="678">
        <v>2230</v>
      </c>
      <c r="E342" s="392">
        <v>50000</v>
      </c>
      <c r="F342" s="392">
        <v>100000</v>
      </c>
      <c r="G342" s="392"/>
      <c r="H342" s="392">
        <f t="shared" si="57"/>
        <v>100000</v>
      </c>
      <c r="I342" s="393">
        <f t="shared" si="64"/>
        <v>2</v>
      </c>
    </row>
    <row r="343" spans="1:9" s="690" customFormat="1" ht="15" customHeight="1" thickBot="1">
      <c r="A343" s="722"/>
      <c r="B343" s="2588" t="s">
        <v>235</v>
      </c>
      <c r="C343" s="2615"/>
      <c r="D343" s="700"/>
      <c r="E343" s="458">
        <v>0</v>
      </c>
      <c r="F343" s="458">
        <v>0</v>
      </c>
      <c r="G343" s="458"/>
      <c r="H343" s="458">
        <f t="shared" si="57"/>
        <v>0</v>
      </c>
      <c r="I343" s="459"/>
    </row>
    <row r="344" spans="1:9" s="694" customFormat="1" ht="19.5" customHeight="1" thickBot="1">
      <c r="A344" s="739"/>
      <c r="B344" s="723">
        <v>85217</v>
      </c>
      <c r="C344" s="645" t="s">
        <v>449</v>
      </c>
      <c r="D344" s="666"/>
      <c r="E344" s="440">
        <f>SUM(E345,E349)</f>
        <v>161770</v>
      </c>
      <c r="F344" s="440">
        <f>SUM(F345,F349)</f>
        <v>324643</v>
      </c>
      <c r="G344" s="440"/>
      <c r="H344" s="440">
        <f t="shared" si="57"/>
        <v>324643</v>
      </c>
      <c r="I344" s="441">
        <f t="shared" si="64"/>
        <v>2.0068183223094516</v>
      </c>
    </row>
    <row r="345" spans="1:9" ht="16.5" customHeight="1">
      <c r="A345" s="739"/>
      <c r="B345" s="2616" t="s">
        <v>231</v>
      </c>
      <c r="C345" s="2610"/>
      <c r="D345" s="667"/>
      <c r="E345" s="389">
        <f>SUM(E346:E348)</f>
        <v>161770</v>
      </c>
      <c r="F345" s="389">
        <f>SUM(F346:F348)</f>
        <v>324643</v>
      </c>
      <c r="G345" s="389"/>
      <c r="H345" s="389">
        <f t="shared" si="57"/>
        <v>324643</v>
      </c>
      <c r="I345" s="390">
        <f t="shared" si="64"/>
        <v>2.0068183223094516</v>
      </c>
    </row>
    <row r="346" spans="1:9" ht="16.5" customHeight="1">
      <c r="A346" s="739"/>
      <c r="B346" s="2602"/>
      <c r="C346" s="2617" t="s">
        <v>450</v>
      </c>
      <c r="D346" s="742" t="s">
        <v>276</v>
      </c>
      <c r="E346" s="411">
        <v>63943</v>
      </c>
      <c r="F346" s="392">
        <v>320095</v>
      </c>
      <c r="G346" s="392"/>
      <c r="H346" s="392">
        <f t="shared" si="57"/>
        <v>320095</v>
      </c>
      <c r="I346" s="393">
        <f t="shared" si="64"/>
        <v>5.0059427927998374</v>
      </c>
    </row>
    <row r="347" spans="1:9" ht="16.5" customHeight="1">
      <c r="A347" s="739"/>
      <c r="B347" s="2586"/>
      <c r="C347" s="2618"/>
      <c r="D347" s="742" t="s">
        <v>233</v>
      </c>
      <c r="E347" s="411">
        <v>96627</v>
      </c>
      <c r="F347" s="392">
        <v>3780</v>
      </c>
      <c r="G347" s="392"/>
      <c r="H347" s="392">
        <f t="shared" si="57"/>
        <v>3780</v>
      </c>
      <c r="I347" s="393">
        <f t="shared" si="64"/>
        <v>3.9119500760656963E-2</v>
      </c>
    </row>
    <row r="348" spans="1:9" ht="15.75" customHeight="1">
      <c r="A348" s="739"/>
      <c r="B348" s="2586"/>
      <c r="C348" s="2618"/>
      <c r="D348" s="742" t="s">
        <v>234</v>
      </c>
      <c r="E348" s="411">
        <v>1200</v>
      </c>
      <c r="F348" s="392">
        <v>768</v>
      </c>
      <c r="G348" s="392"/>
      <c r="H348" s="392">
        <f t="shared" ref="H348:H411" si="67">F348+G348</f>
        <v>768</v>
      </c>
      <c r="I348" s="393">
        <f t="shared" si="64"/>
        <v>0.64</v>
      </c>
    </row>
    <row r="349" spans="1:9" ht="14.25" customHeight="1" thickBot="1">
      <c r="A349" s="739"/>
      <c r="B349" s="2576" t="s">
        <v>235</v>
      </c>
      <c r="C349" s="2609"/>
      <c r="D349" s="697"/>
      <c r="E349" s="470">
        <v>0</v>
      </c>
      <c r="F349" s="470">
        <v>0</v>
      </c>
      <c r="G349" s="470"/>
      <c r="H349" s="470">
        <f t="shared" si="67"/>
        <v>0</v>
      </c>
      <c r="I349" s="471"/>
    </row>
    <row r="350" spans="1:9" s="694" customFormat="1" ht="16.5" customHeight="1" thickBot="1">
      <c r="A350" s="739"/>
      <c r="B350" s="723">
        <v>85295</v>
      </c>
      <c r="C350" s="645" t="s">
        <v>254</v>
      </c>
      <c r="D350" s="666"/>
      <c r="E350" s="386">
        <f>E351+E359</f>
        <v>4063493</v>
      </c>
      <c r="F350" s="386">
        <f>F351+F359</f>
        <v>4712556</v>
      </c>
      <c r="G350" s="386">
        <f>G351</f>
        <v>-182411</v>
      </c>
      <c r="H350" s="386">
        <f t="shared" si="67"/>
        <v>4530145</v>
      </c>
      <c r="I350" s="387">
        <f t="shared" si="64"/>
        <v>1.1148401141579425</v>
      </c>
    </row>
    <row r="351" spans="1:9" ht="16.5" customHeight="1">
      <c r="A351" s="739"/>
      <c r="B351" s="2601" t="s">
        <v>231</v>
      </c>
      <c r="C351" s="2610"/>
      <c r="D351" s="667"/>
      <c r="E351" s="389">
        <f>SUM(E352:E358)</f>
        <v>4052466</v>
      </c>
      <c r="F351" s="389">
        <f t="shared" ref="F351" si="68">SUM(F352:F358)</f>
        <v>4712556</v>
      </c>
      <c r="G351" s="389">
        <f>SUM(G352:G358)</f>
        <v>-182411</v>
      </c>
      <c r="H351" s="389">
        <f t="shared" si="67"/>
        <v>4530145</v>
      </c>
      <c r="I351" s="390">
        <f t="shared" si="64"/>
        <v>1.1178736601368156</v>
      </c>
    </row>
    <row r="352" spans="1:9" ht="40.5" customHeight="1">
      <c r="A352" s="739"/>
      <c r="B352" s="2602"/>
      <c r="C352" s="743" t="s">
        <v>451</v>
      </c>
      <c r="D352" s="678">
        <v>2007</v>
      </c>
      <c r="E352" s="481">
        <v>2005329</v>
      </c>
      <c r="F352" s="445">
        <v>2845977</v>
      </c>
      <c r="G352" s="445">
        <v>-143612</v>
      </c>
      <c r="H352" s="445">
        <f t="shared" si="67"/>
        <v>2702365</v>
      </c>
      <c r="I352" s="446">
        <f t="shared" si="64"/>
        <v>1.3475918415382213</v>
      </c>
    </row>
    <row r="353" spans="1:9" ht="42" customHeight="1">
      <c r="A353" s="739"/>
      <c r="B353" s="2586"/>
      <c r="C353" s="744" t="s">
        <v>452</v>
      </c>
      <c r="D353" s="670">
        <v>2009</v>
      </c>
      <c r="E353" s="411">
        <v>374036</v>
      </c>
      <c r="F353" s="392">
        <v>530835</v>
      </c>
      <c r="G353" s="392">
        <v>-26787</v>
      </c>
      <c r="H353" s="392">
        <f t="shared" si="67"/>
        <v>504048</v>
      </c>
      <c r="I353" s="393">
        <f t="shared" si="64"/>
        <v>1.3475922103754718</v>
      </c>
    </row>
    <row r="354" spans="1:9" ht="45" customHeight="1">
      <c r="A354" s="739"/>
      <c r="B354" s="2586"/>
      <c r="C354" s="745" t="s">
        <v>451</v>
      </c>
      <c r="D354" s="746">
        <v>2057</v>
      </c>
      <c r="E354" s="406">
        <v>814808</v>
      </c>
      <c r="F354" s="407">
        <v>1029632</v>
      </c>
      <c r="G354" s="407">
        <v>-10124</v>
      </c>
      <c r="H354" s="407">
        <f t="shared" si="67"/>
        <v>1019508</v>
      </c>
      <c r="I354" s="408">
        <f t="shared" si="64"/>
        <v>1.2512248284258378</v>
      </c>
    </row>
    <row r="355" spans="1:9" ht="78.75" customHeight="1">
      <c r="A355" s="739"/>
      <c r="B355" s="2586"/>
      <c r="C355" s="743" t="s">
        <v>453</v>
      </c>
      <c r="D355" s="747" t="s">
        <v>338</v>
      </c>
      <c r="E355" s="392">
        <v>68065</v>
      </c>
      <c r="F355" s="392">
        <v>114064</v>
      </c>
      <c r="G355" s="392"/>
      <c r="H355" s="392">
        <f t="shared" si="67"/>
        <v>114064</v>
      </c>
      <c r="I355" s="393">
        <f t="shared" si="64"/>
        <v>1.6758098876074341</v>
      </c>
    </row>
    <row r="356" spans="1:9" ht="36.75" customHeight="1">
      <c r="A356" s="739"/>
      <c r="B356" s="2586"/>
      <c r="C356" s="743" t="s">
        <v>452</v>
      </c>
      <c r="D356" s="747" t="s">
        <v>328</v>
      </c>
      <c r="E356" s="392">
        <v>151979</v>
      </c>
      <c r="F356" s="392">
        <v>192048</v>
      </c>
      <c r="G356" s="392">
        <v>-1888</v>
      </c>
      <c r="H356" s="392">
        <f t="shared" si="67"/>
        <v>190160</v>
      </c>
      <c r="I356" s="393">
        <f t="shared" si="64"/>
        <v>1.251225498259628</v>
      </c>
    </row>
    <row r="357" spans="1:9" ht="53.25" hidden="1" customHeight="1">
      <c r="A357" s="739"/>
      <c r="B357" s="2586"/>
      <c r="C357" s="748" t="s">
        <v>270</v>
      </c>
      <c r="D357" s="747" t="s">
        <v>431</v>
      </c>
      <c r="E357" s="392">
        <v>689</v>
      </c>
      <c r="F357" s="392">
        <v>0</v>
      </c>
      <c r="G357" s="392"/>
      <c r="H357" s="392">
        <f t="shared" si="67"/>
        <v>0</v>
      </c>
      <c r="I357" s="393">
        <f t="shared" si="64"/>
        <v>0</v>
      </c>
    </row>
    <row r="358" spans="1:9" ht="47.25" hidden="1" customHeight="1">
      <c r="A358" s="739"/>
      <c r="B358" s="2587"/>
      <c r="C358" s="748" t="s">
        <v>272</v>
      </c>
      <c r="D358" s="749" t="s">
        <v>432</v>
      </c>
      <c r="E358" s="419">
        <v>637560</v>
      </c>
      <c r="F358" s="419">
        <v>0</v>
      </c>
      <c r="G358" s="419"/>
      <c r="H358" s="419">
        <f t="shared" si="67"/>
        <v>0</v>
      </c>
      <c r="I358" s="420">
        <f t="shared" si="64"/>
        <v>0</v>
      </c>
    </row>
    <row r="359" spans="1:9" ht="14.25" customHeight="1" thickBot="1">
      <c r="A359" s="739"/>
      <c r="B359" s="2590" t="s">
        <v>235</v>
      </c>
      <c r="C359" s="2611"/>
      <c r="D359" s="684"/>
      <c r="E359" s="415">
        <f>E360+E361</f>
        <v>11027</v>
      </c>
      <c r="F359" s="415">
        <f t="shared" ref="F359" si="69">F360+F361</f>
        <v>0</v>
      </c>
      <c r="G359" s="415"/>
      <c r="H359" s="415">
        <f t="shared" si="67"/>
        <v>0</v>
      </c>
      <c r="I359" s="416">
        <f t="shared" si="64"/>
        <v>0</v>
      </c>
    </row>
    <row r="360" spans="1:9" ht="55.5" hidden="1" customHeight="1">
      <c r="A360" s="739"/>
      <c r="B360" s="2586"/>
      <c r="C360" s="750" t="s">
        <v>270</v>
      </c>
      <c r="D360" s="746">
        <v>6669</v>
      </c>
      <c r="E360" s="406">
        <v>195</v>
      </c>
      <c r="F360" s="407">
        <v>0</v>
      </c>
      <c r="G360" s="407"/>
      <c r="H360" s="407">
        <f t="shared" si="67"/>
        <v>0</v>
      </c>
      <c r="I360" s="408">
        <f t="shared" si="64"/>
        <v>0</v>
      </c>
    </row>
    <row r="361" spans="1:9" ht="48.75" hidden="1" customHeight="1" thickBot="1">
      <c r="A361" s="739"/>
      <c r="B361" s="2612"/>
      <c r="C361" s="751" t="s">
        <v>454</v>
      </c>
      <c r="D361" s="752">
        <v>6699</v>
      </c>
      <c r="E361" s="753">
        <v>10832</v>
      </c>
      <c r="F361" s="754">
        <v>0</v>
      </c>
      <c r="G361" s="754"/>
      <c r="H361" s="754">
        <f t="shared" si="67"/>
        <v>0</v>
      </c>
      <c r="I361" s="755">
        <f t="shared" si="64"/>
        <v>0</v>
      </c>
    </row>
    <row r="362" spans="1:9" s="690" customFormat="1" ht="15.75" thickBot="1">
      <c r="A362" s="640">
        <v>853</v>
      </c>
      <c r="B362" s="688"/>
      <c r="C362" s="642" t="s">
        <v>455</v>
      </c>
      <c r="D362" s="689"/>
      <c r="E362" s="463">
        <f>SUM(E363,E367,E376)</f>
        <v>9033809</v>
      </c>
      <c r="F362" s="463">
        <f>SUM(F363,F367,F376)</f>
        <v>8652533</v>
      </c>
      <c r="G362" s="463"/>
      <c r="H362" s="463">
        <f t="shared" si="67"/>
        <v>8652533</v>
      </c>
      <c r="I362" s="464">
        <f t="shared" si="64"/>
        <v>0.95779454712845935</v>
      </c>
    </row>
    <row r="363" spans="1:9" ht="15.75" thickBot="1">
      <c r="A363" s="739"/>
      <c r="B363" s="665">
        <v>85324</v>
      </c>
      <c r="C363" s="666" t="s">
        <v>456</v>
      </c>
      <c r="D363" s="693"/>
      <c r="E363" s="386">
        <f t="shared" ref="E363:F363" si="70">E364+E366</f>
        <v>261436</v>
      </c>
      <c r="F363" s="386">
        <f t="shared" si="70"/>
        <v>269034</v>
      </c>
      <c r="G363" s="386"/>
      <c r="H363" s="386">
        <f t="shared" si="67"/>
        <v>269034</v>
      </c>
      <c r="I363" s="387">
        <f t="shared" si="64"/>
        <v>1.0290625621567038</v>
      </c>
    </row>
    <row r="364" spans="1:9">
      <c r="A364" s="739"/>
      <c r="B364" s="2593" t="s">
        <v>231</v>
      </c>
      <c r="C364" s="2593"/>
      <c r="D364" s="676"/>
      <c r="E364" s="389">
        <f t="shared" ref="E364:F364" si="71">E365</f>
        <v>261436</v>
      </c>
      <c r="F364" s="389">
        <f t="shared" si="71"/>
        <v>269034</v>
      </c>
      <c r="G364" s="389"/>
      <c r="H364" s="389">
        <f t="shared" si="67"/>
        <v>269034</v>
      </c>
      <c r="I364" s="390">
        <f t="shared" si="64"/>
        <v>1.0290625621567038</v>
      </c>
    </row>
    <row r="365" spans="1:9" ht="27" customHeight="1">
      <c r="A365" s="739"/>
      <c r="B365" s="756"/>
      <c r="C365" s="757" t="s">
        <v>457</v>
      </c>
      <c r="D365" s="758" t="s">
        <v>234</v>
      </c>
      <c r="E365" s="392">
        <v>261436</v>
      </c>
      <c r="F365" s="392">
        <v>269034</v>
      </c>
      <c r="G365" s="392"/>
      <c r="H365" s="392">
        <f t="shared" si="67"/>
        <v>269034</v>
      </c>
      <c r="I365" s="393">
        <f t="shared" si="64"/>
        <v>1.0290625621567038</v>
      </c>
    </row>
    <row r="366" spans="1:9" ht="15.75" thickBot="1">
      <c r="A366" s="739"/>
      <c r="B366" s="2576" t="s">
        <v>235</v>
      </c>
      <c r="C366" s="2577"/>
      <c r="D366" s="697"/>
      <c r="E366" s="396">
        <v>0</v>
      </c>
      <c r="F366" s="396">
        <v>0</v>
      </c>
      <c r="G366" s="396"/>
      <c r="H366" s="396">
        <f t="shared" si="67"/>
        <v>0</v>
      </c>
      <c r="I366" s="397"/>
    </row>
    <row r="367" spans="1:9" s="694" customFormat="1" ht="15.75" thickBot="1">
      <c r="A367" s="2607"/>
      <c r="B367" s="665">
        <v>85332</v>
      </c>
      <c r="C367" s="645" t="s">
        <v>458</v>
      </c>
      <c r="D367" s="666"/>
      <c r="E367" s="386">
        <f>SUM(E368,E374)</f>
        <v>7672812</v>
      </c>
      <c r="F367" s="386">
        <f>SUM(F368,F374)</f>
        <v>8307483</v>
      </c>
      <c r="G367" s="386"/>
      <c r="H367" s="386">
        <f t="shared" si="67"/>
        <v>8307483</v>
      </c>
      <c r="I367" s="387">
        <f t="shared" si="64"/>
        <v>1.0827168709464015</v>
      </c>
    </row>
    <row r="368" spans="1:9">
      <c r="A368" s="2607"/>
      <c r="B368" s="2574" t="s">
        <v>231</v>
      </c>
      <c r="C368" s="2597"/>
      <c r="D368" s="724"/>
      <c r="E368" s="402">
        <f>SUM(E369:E373)</f>
        <v>7655956</v>
      </c>
      <c r="F368" s="402">
        <f>SUM(F369:F373)</f>
        <v>8307483</v>
      </c>
      <c r="G368" s="402"/>
      <c r="H368" s="402">
        <f t="shared" si="67"/>
        <v>8307483</v>
      </c>
      <c r="I368" s="403">
        <f t="shared" si="64"/>
        <v>1.0851006719474354</v>
      </c>
    </row>
    <row r="369" spans="1:9" ht="15" customHeight="1">
      <c r="A369" s="2607"/>
      <c r="B369" s="2586"/>
      <c r="C369" s="759" t="s">
        <v>381</v>
      </c>
      <c r="D369" s="760" t="s">
        <v>234</v>
      </c>
      <c r="E369" s="419">
        <v>9408</v>
      </c>
      <c r="F369" s="419">
        <v>10136</v>
      </c>
      <c r="G369" s="419"/>
      <c r="H369" s="419">
        <f t="shared" si="67"/>
        <v>10136</v>
      </c>
      <c r="I369" s="420">
        <f t="shared" si="64"/>
        <v>1.0773809523809523</v>
      </c>
    </row>
    <row r="370" spans="1:9" ht="30" customHeight="1">
      <c r="A370" s="2607"/>
      <c r="B370" s="2586"/>
      <c r="C370" s="761" t="s">
        <v>459</v>
      </c>
      <c r="D370" s="762" t="s">
        <v>460</v>
      </c>
      <c r="E370" s="392">
        <v>2376000</v>
      </c>
      <c r="F370" s="392">
        <v>3178000</v>
      </c>
      <c r="G370" s="392"/>
      <c r="H370" s="392">
        <f t="shared" si="67"/>
        <v>3178000</v>
      </c>
      <c r="I370" s="393">
        <f t="shared" si="64"/>
        <v>1.3375420875420876</v>
      </c>
    </row>
    <row r="371" spans="1:9" ht="38.25" customHeight="1">
      <c r="A371" s="2607"/>
      <c r="B371" s="2586"/>
      <c r="C371" s="761" t="s">
        <v>461</v>
      </c>
      <c r="D371" s="742" t="s">
        <v>338</v>
      </c>
      <c r="E371" s="419">
        <v>4092948</v>
      </c>
      <c r="F371" s="419">
        <v>3963347</v>
      </c>
      <c r="G371" s="419"/>
      <c r="H371" s="419">
        <f t="shared" si="67"/>
        <v>3963347</v>
      </c>
      <c r="I371" s="420">
        <f t="shared" si="64"/>
        <v>0.96833553712385301</v>
      </c>
    </row>
    <row r="372" spans="1:9" ht="40.5" customHeight="1">
      <c r="A372" s="2607"/>
      <c r="B372" s="2586"/>
      <c r="C372" s="649" t="s">
        <v>240</v>
      </c>
      <c r="D372" s="763" t="s">
        <v>329</v>
      </c>
      <c r="E372" s="445">
        <v>2000</v>
      </c>
      <c r="F372" s="445">
        <v>2000</v>
      </c>
      <c r="G372" s="445">
        <v>0</v>
      </c>
      <c r="H372" s="445">
        <f t="shared" si="67"/>
        <v>2000</v>
      </c>
      <c r="I372" s="446">
        <f t="shared" si="64"/>
        <v>1</v>
      </c>
    </row>
    <row r="373" spans="1:9" ht="38.25" customHeight="1">
      <c r="A373" s="2607"/>
      <c r="B373" s="2587"/>
      <c r="C373" s="761" t="s">
        <v>462</v>
      </c>
      <c r="D373" s="747" t="s">
        <v>280</v>
      </c>
      <c r="E373" s="392">
        <v>1175600</v>
      </c>
      <c r="F373" s="392">
        <v>1154000</v>
      </c>
      <c r="G373" s="392"/>
      <c r="H373" s="392">
        <f t="shared" si="67"/>
        <v>1154000</v>
      </c>
      <c r="I373" s="393">
        <f t="shared" si="64"/>
        <v>0.98162640353861863</v>
      </c>
    </row>
    <row r="374" spans="1:9" ht="15.75" thickBot="1">
      <c r="A374" s="2607"/>
      <c r="B374" s="2588" t="s">
        <v>235</v>
      </c>
      <c r="C374" s="2589"/>
      <c r="D374" s="700"/>
      <c r="E374" s="458">
        <f t="shared" ref="E374:F374" si="72">E375</f>
        <v>16856</v>
      </c>
      <c r="F374" s="458">
        <f t="shared" si="72"/>
        <v>0</v>
      </c>
      <c r="G374" s="458"/>
      <c r="H374" s="458">
        <f t="shared" si="67"/>
        <v>0</v>
      </c>
      <c r="I374" s="459">
        <f t="shared" si="64"/>
        <v>0</v>
      </c>
    </row>
    <row r="375" spans="1:9" ht="42.75" hidden="1" customHeight="1" thickBot="1">
      <c r="A375" s="764"/>
      <c r="B375" s="718"/>
      <c r="C375" s="765" t="s">
        <v>461</v>
      </c>
      <c r="D375" s="766">
        <v>6258</v>
      </c>
      <c r="E375" s="490">
        <v>16856</v>
      </c>
      <c r="F375" s="491">
        <v>0</v>
      </c>
      <c r="G375" s="491"/>
      <c r="H375" s="491">
        <f t="shared" si="67"/>
        <v>0</v>
      </c>
      <c r="I375" s="492">
        <f t="shared" si="64"/>
        <v>0</v>
      </c>
    </row>
    <row r="376" spans="1:9" ht="18.75" customHeight="1" thickBot="1">
      <c r="A376" s="764"/>
      <c r="B376" s="665">
        <v>85395</v>
      </c>
      <c r="C376" s="645" t="s">
        <v>254</v>
      </c>
      <c r="D376" s="666"/>
      <c r="E376" s="386">
        <f>SUM(E377+E385)</f>
        <v>1099561</v>
      </c>
      <c r="F376" s="386">
        <f>SUM(F377+F385)</f>
        <v>76016</v>
      </c>
      <c r="G376" s="386"/>
      <c r="H376" s="386">
        <f t="shared" si="67"/>
        <v>76016</v>
      </c>
      <c r="I376" s="387">
        <f t="shared" si="64"/>
        <v>6.9133044915197978E-2</v>
      </c>
    </row>
    <row r="377" spans="1:9" ht="15" customHeight="1">
      <c r="A377" s="764"/>
      <c r="B377" s="2608" t="s">
        <v>231</v>
      </c>
      <c r="C377" s="2575"/>
      <c r="D377" s="724"/>
      <c r="E377" s="402">
        <f>SUM(E378:E384)</f>
        <v>1085320</v>
      </c>
      <c r="F377" s="402">
        <f>SUM(F378:F384)</f>
        <v>76016</v>
      </c>
      <c r="G377" s="402"/>
      <c r="H377" s="402">
        <f t="shared" si="67"/>
        <v>76016</v>
      </c>
      <c r="I377" s="403">
        <f t="shared" si="64"/>
        <v>7.0040172483691446E-2</v>
      </c>
    </row>
    <row r="378" spans="1:9" ht="51.75" customHeight="1">
      <c r="A378" s="764"/>
      <c r="B378" s="2602"/>
      <c r="C378" s="767" t="s">
        <v>463</v>
      </c>
      <c r="D378" s="683">
        <v>2057</v>
      </c>
      <c r="E378" s="656">
        <v>56233</v>
      </c>
      <c r="F378" s="419">
        <v>64066</v>
      </c>
      <c r="G378" s="419"/>
      <c r="H378" s="419">
        <f t="shared" si="67"/>
        <v>64066</v>
      </c>
      <c r="I378" s="420">
        <f t="shared" si="64"/>
        <v>1.1392954315081891</v>
      </c>
    </row>
    <row r="379" spans="1:9" ht="63" customHeight="1">
      <c r="A379" s="764"/>
      <c r="B379" s="2586"/>
      <c r="C379" s="768" t="s">
        <v>464</v>
      </c>
      <c r="D379" s="670">
        <v>2059</v>
      </c>
      <c r="E379" s="411">
        <v>10488</v>
      </c>
      <c r="F379" s="392">
        <v>11950</v>
      </c>
      <c r="G379" s="392"/>
      <c r="H379" s="392">
        <f t="shared" si="67"/>
        <v>11950</v>
      </c>
      <c r="I379" s="393">
        <f t="shared" si="64"/>
        <v>1.139397406559878</v>
      </c>
    </row>
    <row r="380" spans="1:9" ht="46.5" hidden="1" customHeight="1">
      <c r="A380" s="764"/>
      <c r="B380" s="2586"/>
      <c r="C380" s="769" t="s">
        <v>465</v>
      </c>
      <c r="D380" s="678">
        <v>2918</v>
      </c>
      <c r="E380" s="481">
        <v>1673</v>
      </c>
      <c r="F380" s="445">
        <v>0</v>
      </c>
      <c r="G380" s="445"/>
      <c r="H380" s="445">
        <f t="shared" si="67"/>
        <v>0</v>
      </c>
      <c r="I380" s="446">
        <f t="shared" si="64"/>
        <v>0</v>
      </c>
    </row>
    <row r="381" spans="1:9" ht="51.75" hidden="1" customHeight="1">
      <c r="A381" s="764"/>
      <c r="B381" s="2586"/>
      <c r="C381" s="769" t="s">
        <v>270</v>
      </c>
      <c r="D381" s="2603">
        <v>2919</v>
      </c>
      <c r="E381" s="481">
        <v>4045</v>
      </c>
      <c r="F381" s="445">
        <v>0</v>
      </c>
      <c r="G381" s="445"/>
      <c r="H381" s="445">
        <f t="shared" si="67"/>
        <v>0</v>
      </c>
      <c r="I381" s="446">
        <f t="shared" si="64"/>
        <v>0</v>
      </c>
    </row>
    <row r="382" spans="1:9" ht="48" hidden="1" customHeight="1">
      <c r="A382" s="764"/>
      <c r="B382" s="2586"/>
      <c r="C382" s="770" t="s">
        <v>465</v>
      </c>
      <c r="D382" s="2604"/>
      <c r="E382" s="411">
        <v>296</v>
      </c>
      <c r="F382" s="392">
        <v>0</v>
      </c>
      <c r="G382" s="392"/>
      <c r="H382" s="392">
        <f t="shared" si="67"/>
        <v>0</v>
      </c>
      <c r="I382" s="393">
        <f t="shared" si="64"/>
        <v>0</v>
      </c>
    </row>
    <row r="383" spans="1:9" ht="39.75" hidden="1" customHeight="1">
      <c r="A383" s="764"/>
      <c r="B383" s="2586"/>
      <c r="C383" s="771" t="s">
        <v>272</v>
      </c>
      <c r="D383" s="2603">
        <v>2959</v>
      </c>
      <c r="E383" s="481">
        <v>1011421</v>
      </c>
      <c r="F383" s="445">
        <v>0</v>
      </c>
      <c r="G383" s="445"/>
      <c r="H383" s="445">
        <f t="shared" si="67"/>
        <v>0</v>
      </c>
      <c r="I383" s="446">
        <f t="shared" si="64"/>
        <v>0</v>
      </c>
    </row>
    <row r="384" spans="1:9" ht="38.25" hidden="1" customHeight="1">
      <c r="A384" s="764"/>
      <c r="B384" s="2586"/>
      <c r="C384" s="772" t="s">
        <v>466</v>
      </c>
      <c r="D384" s="2604"/>
      <c r="E384" s="481">
        <v>1164</v>
      </c>
      <c r="F384" s="445">
        <v>0</v>
      </c>
      <c r="G384" s="445"/>
      <c r="H384" s="445">
        <f t="shared" si="67"/>
        <v>0</v>
      </c>
      <c r="I384" s="446">
        <f t="shared" si="64"/>
        <v>0</v>
      </c>
    </row>
    <row r="385" spans="1:9" ht="15" customHeight="1" thickBot="1">
      <c r="A385" s="764"/>
      <c r="B385" s="2590" t="s">
        <v>235</v>
      </c>
      <c r="C385" s="2591"/>
      <c r="D385" s="725"/>
      <c r="E385" s="415">
        <f t="shared" ref="E385:F385" si="73">E386</f>
        <v>14241</v>
      </c>
      <c r="F385" s="415">
        <f t="shared" si="73"/>
        <v>0</v>
      </c>
      <c r="G385" s="415"/>
      <c r="H385" s="415">
        <f t="shared" si="67"/>
        <v>0</v>
      </c>
      <c r="I385" s="416">
        <f t="shared" si="64"/>
        <v>0</v>
      </c>
    </row>
    <row r="386" spans="1:9" ht="42.75" hidden="1" customHeight="1" thickBot="1">
      <c r="A386" s="764"/>
      <c r="B386" s="773"/>
      <c r="C386" s="774" t="s">
        <v>272</v>
      </c>
      <c r="D386" s="752">
        <v>6699</v>
      </c>
      <c r="E386" s="656">
        <v>14241</v>
      </c>
      <c r="F386" s="419">
        <v>0</v>
      </c>
      <c r="G386" s="419"/>
      <c r="H386" s="419">
        <f t="shared" si="67"/>
        <v>0</v>
      </c>
      <c r="I386" s="420">
        <f t="shared" si="64"/>
        <v>0</v>
      </c>
    </row>
    <row r="387" spans="1:9" s="514" customFormat="1" ht="15.75" thickBot="1">
      <c r="A387" s="775">
        <v>855</v>
      </c>
      <c r="B387" s="776"/>
      <c r="C387" s="642" t="s">
        <v>467</v>
      </c>
      <c r="D387" s="689"/>
      <c r="E387" s="381">
        <f>SUM(E394,E398,E388)</f>
        <v>4797401</v>
      </c>
      <c r="F387" s="381">
        <f>SUM(F394,F398,F388)</f>
        <v>3915500</v>
      </c>
      <c r="G387" s="381">
        <f>G394</f>
        <v>34000</v>
      </c>
      <c r="H387" s="381">
        <f t="shared" si="67"/>
        <v>3949500</v>
      </c>
      <c r="I387" s="382">
        <f t="shared" si="64"/>
        <v>0.82325826004538705</v>
      </c>
    </row>
    <row r="388" spans="1:9" s="514" customFormat="1" ht="18" customHeight="1" thickBot="1">
      <c r="A388" s="713"/>
      <c r="B388" s="777">
        <v>85504</v>
      </c>
      <c r="C388" s="645" t="s">
        <v>468</v>
      </c>
      <c r="D388" s="778"/>
      <c r="E388" s="440">
        <f>E389+E393</f>
        <v>2180477</v>
      </c>
      <c r="F388" s="440">
        <f>F389+F393</f>
        <v>757868</v>
      </c>
      <c r="G388" s="440"/>
      <c r="H388" s="440">
        <f t="shared" si="67"/>
        <v>757868</v>
      </c>
      <c r="I388" s="441">
        <f t="shared" si="64"/>
        <v>0.34756982073188575</v>
      </c>
    </row>
    <row r="389" spans="1:9" s="514" customFormat="1">
      <c r="A389" s="713"/>
      <c r="B389" s="2593" t="s">
        <v>231</v>
      </c>
      <c r="C389" s="2593"/>
      <c r="D389" s="676"/>
      <c r="E389" s="477">
        <f>SUM(E390:E392)</f>
        <v>2180477</v>
      </c>
      <c r="F389" s="477">
        <f>SUM(F390:F392)</f>
        <v>757868</v>
      </c>
      <c r="G389" s="477"/>
      <c r="H389" s="477">
        <f t="shared" si="67"/>
        <v>757868</v>
      </c>
      <c r="I389" s="478">
        <f t="shared" si="64"/>
        <v>0.34756982073188575</v>
      </c>
    </row>
    <row r="390" spans="1:9" s="514" customFormat="1" ht="27.75" customHeight="1">
      <c r="A390" s="713"/>
      <c r="B390" s="2602"/>
      <c r="C390" s="2605" t="s">
        <v>469</v>
      </c>
      <c r="D390" s="747" t="s">
        <v>470</v>
      </c>
      <c r="E390" s="392">
        <v>1270121</v>
      </c>
      <c r="F390" s="392">
        <v>365688</v>
      </c>
      <c r="G390" s="392"/>
      <c r="H390" s="392">
        <f t="shared" si="67"/>
        <v>365688</v>
      </c>
      <c r="I390" s="393">
        <f t="shared" si="64"/>
        <v>0.28791587573152477</v>
      </c>
    </row>
    <row r="391" spans="1:9" s="514" customFormat="1" ht="25.5" customHeight="1">
      <c r="A391" s="713"/>
      <c r="B391" s="2586"/>
      <c r="C391" s="2606"/>
      <c r="D391" s="747" t="s">
        <v>418</v>
      </c>
      <c r="E391" s="392">
        <v>624351</v>
      </c>
      <c r="F391" s="392">
        <v>292824</v>
      </c>
      <c r="G391" s="392"/>
      <c r="H391" s="392">
        <f t="shared" si="67"/>
        <v>292824</v>
      </c>
      <c r="I391" s="393">
        <f t="shared" si="64"/>
        <v>0.46900541522316774</v>
      </c>
    </row>
    <row r="392" spans="1:9" s="514" customFormat="1" ht="39.75" customHeight="1">
      <c r="A392" s="713"/>
      <c r="B392" s="2586"/>
      <c r="C392" s="779" t="s">
        <v>471</v>
      </c>
      <c r="D392" s="747" t="s">
        <v>328</v>
      </c>
      <c r="E392" s="392">
        <v>286005</v>
      </c>
      <c r="F392" s="392">
        <v>99356</v>
      </c>
      <c r="G392" s="392"/>
      <c r="H392" s="392">
        <f t="shared" si="67"/>
        <v>99356</v>
      </c>
      <c r="I392" s="393">
        <f t="shared" si="64"/>
        <v>0.34739252810265553</v>
      </c>
    </row>
    <row r="393" spans="1:9" s="514" customFormat="1" ht="15.75" thickBot="1">
      <c r="A393" s="713"/>
      <c r="B393" s="2576" t="s">
        <v>235</v>
      </c>
      <c r="C393" s="2577"/>
      <c r="D393" s="697"/>
      <c r="E393" s="396">
        <v>0</v>
      </c>
      <c r="F393" s="396">
        <v>0</v>
      </c>
      <c r="G393" s="396"/>
      <c r="H393" s="396">
        <f t="shared" si="67"/>
        <v>0</v>
      </c>
      <c r="I393" s="397"/>
    </row>
    <row r="394" spans="1:9" s="514" customFormat="1" ht="15.75" thickBot="1">
      <c r="A394" s="713"/>
      <c r="B394" s="777">
        <v>85509</v>
      </c>
      <c r="C394" s="666" t="s">
        <v>472</v>
      </c>
      <c r="D394" s="778"/>
      <c r="E394" s="386">
        <f t="shared" ref="E394:F394" si="74">SUM(E395,E397)</f>
        <v>750000</v>
      </c>
      <c r="F394" s="386">
        <f t="shared" si="74"/>
        <v>750000</v>
      </c>
      <c r="G394" s="386">
        <f>G395+G397</f>
        <v>34000</v>
      </c>
      <c r="H394" s="386">
        <f t="shared" si="67"/>
        <v>784000</v>
      </c>
      <c r="I394" s="387">
        <f t="shared" si="64"/>
        <v>1.0453333333333332</v>
      </c>
    </row>
    <row r="395" spans="1:9" s="514" customFormat="1">
      <c r="A395" s="713"/>
      <c r="B395" s="2593" t="s">
        <v>231</v>
      </c>
      <c r="C395" s="2593"/>
      <c r="D395" s="676"/>
      <c r="E395" s="389">
        <f t="shared" ref="E395:F395" si="75">SUM(E396)</f>
        <v>750000</v>
      </c>
      <c r="F395" s="389">
        <f t="shared" si="75"/>
        <v>750000</v>
      </c>
      <c r="G395" s="389">
        <f>G396</f>
        <v>34000</v>
      </c>
      <c r="H395" s="389">
        <f t="shared" si="67"/>
        <v>784000</v>
      </c>
      <c r="I395" s="390">
        <f t="shared" ref="I395:I457" si="76">H395/E395</f>
        <v>1.0453333333333332</v>
      </c>
    </row>
    <row r="396" spans="1:9" s="514" customFormat="1" ht="38.25">
      <c r="A396" s="713"/>
      <c r="B396" s="780"/>
      <c r="C396" s="757" t="s">
        <v>240</v>
      </c>
      <c r="D396" s="763" t="s">
        <v>329</v>
      </c>
      <c r="E396" s="392">
        <v>750000</v>
      </c>
      <c r="F396" s="392">
        <v>750000</v>
      </c>
      <c r="G396" s="392">
        <v>34000</v>
      </c>
      <c r="H396" s="392">
        <f t="shared" si="67"/>
        <v>784000</v>
      </c>
      <c r="I396" s="393">
        <f t="shared" si="76"/>
        <v>1.0453333333333332</v>
      </c>
    </row>
    <row r="397" spans="1:9" s="514" customFormat="1" ht="15.75" thickBot="1">
      <c r="A397" s="713"/>
      <c r="B397" s="2576" t="s">
        <v>235</v>
      </c>
      <c r="C397" s="2577"/>
      <c r="D397" s="697"/>
      <c r="E397" s="396">
        <v>0</v>
      </c>
      <c r="F397" s="396">
        <v>0</v>
      </c>
      <c r="G397" s="396"/>
      <c r="H397" s="396">
        <f t="shared" si="67"/>
        <v>0</v>
      </c>
      <c r="I397" s="478"/>
    </row>
    <row r="398" spans="1:9" s="514" customFormat="1" ht="15.75" thickBot="1">
      <c r="A398" s="713"/>
      <c r="B398" s="777">
        <v>85510</v>
      </c>
      <c r="C398" s="781" t="s">
        <v>473</v>
      </c>
      <c r="D398" s="778"/>
      <c r="E398" s="386">
        <f t="shared" ref="E398:F398" si="77">SUM(E399,E403)</f>
        <v>1866924</v>
      </c>
      <c r="F398" s="386">
        <f t="shared" si="77"/>
        <v>2407632</v>
      </c>
      <c r="G398" s="386"/>
      <c r="H398" s="386">
        <f t="shared" si="67"/>
        <v>2407632</v>
      </c>
      <c r="I398" s="387">
        <f t="shared" si="76"/>
        <v>1.2896250731149206</v>
      </c>
    </row>
    <row r="399" spans="1:9" s="514" customFormat="1" ht="15.75" customHeight="1">
      <c r="A399" s="764"/>
      <c r="B399" s="2601" t="s">
        <v>231</v>
      </c>
      <c r="C399" s="2593"/>
      <c r="D399" s="676"/>
      <c r="E399" s="389">
        <f>SUM(E400:E402,)</f>
        <v>1866924</v>
      </c>
      <c r="F399" s="389">
        <f t="shared" ref="F399" si="78">SUM(F400:F402,)</f>
        <v>2407632</v>
      </c>
      <c r="G399" s="389"/>
      <c r="H399" s="389">
        <f t="shared" si="67"/>
        <v>2407632</v>
      </c>
      <c r="I399" s="390">
        <f t="shared" si="76"/>
        <v>1.2896250731149206</v>
      </c>
    </row>
    <row r="400" spans="1:9" s="514" customFormat="1" ht="38.25">
      <c r="A400" s="764"/>
      <c r="B400" s="2594"/>
      <c r="C400" s="649" t="s">
        <v>474</v>
      </c>
      <c r="D400" s="763" t="s">
        <v>475</v>
      </c>
      <c r="E400" s="392">
        <v>1857839</v>
      </c>
      <c r="F400" s="392">
        <v>2407632</v>
      </c>
      <c r="G400" s="392"/>
      <c r="H400" s="392">
        <f t="shared" si="67"/>
        <v>2407632</v>
      </c>
      <c r="I400" s="393">
        <f t="shared" si="76"/>
        <v>1.2959314558473582</v>
      </c>
    </row>
    <row r="401" spans="1:9" s="514" customFormat="1" ht="52.5" hidden="1" customHeight="1">
      <c r="A401" s="764"/>
      <c r="B401" s="2595"/>
      <c r="C401" s="649" t="s">
        <v>476</v>
      </c>
      <c r="D401" s="782" t="s">
        <v>477</v>
      </c>
      <c r="E401" s="392">
        <v>100</v>
      </c>
      <c r="F401" s="392">
        <v>0</v>
      </c>
      <c r="G401" s="392"/>
      <c r="H401" s="392">
        <f t="shared" si="67"/>
        <v>0</v>
      </c>
      <c r="I401" s="393">
        <f t="shared" si="76"/>
        <v>0</v>
      </c>
    </row>
    <row r="402" spans="1:9" s="514" customFormat="1" ht="17.25" hidden="1" customHeight="1">
      <c r="A402" s="764"/>
      <c r="B402" s="2596"/>
      <c r="C402" s="664" t="s">
        <v>281</v>
      </c>
      <c r="D402" s="782" t="s">
        <v>282</v>
      </c>
      <c r="E402" s="407">
        <v>8985</v>
      </c>
      <c r="F402" s="407">
        <v>0</v>
      </c>
      <c r="G402" s="407"/>
      <c r="H402" s="407">
        <f t="shared" si="67"/>
        <v>0</v>
      </c>
      <c r="I402" s="408">
        <f t="shared" si="76"/>
        <v>0</v>
      </c>
    </row>
    <row r="403" spans="1:9" s="514" customFormat="1" ht="15.75" customHeight="1" thickBot="1">
      <c r="A403" s="783"/>
      <c r="B403" s="2576" t="s">
        <v>235</v>
      </c>
      <c r="C403" s="2577"/>
      <c r="D403" s="697"/>
      <c r="E403" s="470">
        <v>0</v>
      </c>
      <c r="F403" s="470">
        <v>0</v>
      </c>
      <c r="G403" s="470"/>
      <c r="H403" s="470">
        <f t="shared" si="67"/>
        <v>0</v>
      </c>
      <c r="I403" s="471"/>
    </row>
    <row r="404" spans="1:9" s="690" customFormat="1" ht="15.75" thickBot="1">
      <c r="A404" s="640">
        <v>900</v>
      </c>
      <c r="B404" s="688"/>
      <c r="C404" s="642" t="s">
        <v>478</v>
      </c>
      <c r="D404" s="689"/>
      <c r="E404" s="381">
        <f>SUM(E409,E417,E421,E427,E413,E405)</f>
        <v>743500</v>
      </c>
      <c r="F404" s="381">
        <f>SUM(F409,F417,F421,F427,F413,F405)</f>
        <v>512700</v>
      </c>
      <c r="G404" s="381"/>
      <c r="H404" s="381">
        <f t="shared" si="67"/>
        <v>512700</v>
      </c>
      <c r="I404" s="382">
        <f t="shared" si="76"/>
        <v>0.68957632817753867</v>
      </c>
    </row>
    <row r="405" spans="1:9" s="690" customFormat="1" ht="15.75" thickBot="1">
      <c r="A405" s="722"/>
      <c r="B405" s="665">
        <v>90002</v>
      </c>
      <c r="C405" s="645" t="s">
        <v>479</v>
      </c>
      <c r="D405" s="666"/>
      <c r="E405" s="386">
        <f t="shared" ref="E405:F405" si="79">SUM(E406,E408)</f>
        <v>0</v>
      </c>
      <c r="F405" s="386">
        <f t="shared" si="79"/>
        <v>100000</v>
      </c>
      <c r="G405" s="386"/>
      <c r="H405" s="386">
        <f t="shared" si="67"/>
        <v>100000</v>
      </c>
      <c r="I405" s="387"/>
    </row>
    <row r="406" spans="1:9" s="690" customFormat="1">
      <c r="A406" s="722"/>
      <c r="B406" s="2593" t="s">
        <v>231</v>
      </c>
      <c r="C406" s="2593"/>
      <c r="D406" s="676"/>
      <c r="E406" s="389">
        <f t="shared" ref="E406" si="80">SUM(E407)</f>
        <v>0</v>
      </c>
      <c r="F406" s="389">
        <f>SUM(F407)</f>
        <v>100000</v>
      </c>
      <c r="G406" s="389"/>
      <c r="H406" s="389">
        <f t="shared" si="67"/>
        <v>100000</v>
      </c>
      <c r="I406" s="390"/>
    </row>
    <row r="407" spans="1:9" s="690" customFormat="1" ht="38.25">
      <c r="A407" s="722"/>
      <c r="B407" s="780"/>
      <c r="C407" s="649" t="s">
        <v>480</v>
      </c>
      <c r="D407" s="763" t="s">
        <v>251</v>
      </c>
      <c r="E407" s="392">
        <v>0</v>
      </c>
      <c r="F407" s="392">
        <v>100000</v>
      </c>
      <c r="G407" s="392"/>
      <c r="H407" s="392">
        <f t="shared" si="67"/>
        <v>100000</v>
      </c>
      <c r="I407" s="393"/>
    </row>
    <row r="408" spans="1:9" s="690" customFormat="1" ht="15.75" thickBot="1">
      <c r="A408" s="722"/>
      <c r="B408" s="2588" t="s">
        <v>235</v>
      </c>
      <c r="C408" s="2589"/>
      <c r="D408" s="700"/>
      <c r="E408" s="458">
        <v>0</v>
      </c>
      <c r="F408" s="458">
        <v>0</v>
      </c>
      <c r="G408" s="458"/>
      <c r="H408" s="458">
        <f t="shared" si="67"/>
        <v>0</v>
      </c>
      <c r="I408" s="416"/>
    </row>
    <row r="409" spans="1:9" s="690" customFormat="1" ht="15.75" hidden="1" thickBot="1">
      <c r="A409" s="722"/>
      <c r="B409" s="723">
        <v>90005</v>
      </c>
      <c r="C409" s="645" t="s">
        <v>481</v>
      </c>
      <c r="D409" s="666"/>
      <c r="E409" s="440">
        <f>SUM(E410,E412)</f>
        <v>49100</v>
      </c>
      <c r="F409" s="440">
        <f>SUM(F410,F412)</f>
        <v>0</v>
      </c>
      <c r="G409" s="440"/>
      <c r="H409" s="440">
        <f t="shared" si="67"/>
        <v>0</v>
      </c>
      <c r="I409" s="539">
        <f t="shared" si="76"/>
        <v>0</v>
      </c>
    </row>
    <row r="410" spans="1:9" s="690" customFormat="1" ht="15.75" hidden="1" thickBot="1">
      <c r="A410" s="722"/>
      <c r="B410" s="2593" t="s">
        <v>231</v>
      </c>
      <c r="C410" s="2593"/>
      <c r="D410" s="676"/>
      <c r="E410" s="389">
        <f t="shared" ref="E410:F410" si="81">SUM(E411)</f>
        <v>49100</v>
      </c>
      <c r="F410" s="389">
        <f t="shared" si="81"/>
        <v>0</v>
      </c>
      <c r="G410" s="389"/>
      <c r="H410" s="389">
        <f t="shared" si="67"/>
        <v>0</v>
      </c>
      <c r="I410" s="390">
        <f t="shared" si="76"/>
        <v>0</v>
      </c>
    </row>
    <row r="411" spans="1:9" s="690" customFormat="1" ht="26.25" hidden="1" thickBot="1">
      <c r="A411" s="722"/>
      <c r="B411" s="780"/>
      <c r="C411" s="661" t="s">
        <v>255</v>
      </c>
      <c r="D411" s="763" t="s">
        <v>482</v>
      </c>
      <c r="E411" s="392">
        <v>49100</v>
      </c>
      <c r="F411" s="392">
        <v>0</v>
      </c>
      <c r="G411" s="392"/>
      <c r="H411" s="392">
        <f t="shared" si="67"/>
        <v>0</v>
      </c>
      <c r="I411" s="393">
        <f t="shared" si="76"/>
        <v>0</v>
      </c>
    </row>
    <row r="412" spans="1:9" s="690" customFormat="1" ht="15.75" hidden="1" thickBot="1">
      <c r="A412" s="722"/>
      <c r="B412" s="2589" t="s">
        <v>235</v>
      </c>
      <c r="C412" s="2589"/>
      <c r="D412" s="700"/>
      <c r="E412" s="477">
        <v>0</v>
      </c>
      <c r="F412" s="477">
        <v>0</v>
      </c>
      <c r="G412" s="477"/>
      <c r="H412" s="477">
        <f t="shared" ref="H412:H469" si="82">F412+G412</f>
        <v>0</v>
      </c>
      <c r="I412" s="478"/>
    </row>
    <row r="413" spans="1:9" s="690" customFormat="1" ht="15.75" thickBot="1">
      <c r="A413" s="722"/>
      <c r="B413" s="665">
        <v>90007</v>
      </c>
      <c r="C413" s="645" t="s">
        <v>483</v>
      </c>
      <c r="D413" s="666"/>
      <c r="E413" s="386">
        <f>SUM(E414,E416)</f>
        <v>50900</v>
      </c>
      <c r="F413" s="386">
        <f>SUM(F414,F416)</f>
        <v>50900</v>
      </c>
      <c r="G413" s="386"/>
      <c r="H413" s="386">
        <f t="shared" si="82"/>
        <v>50900</v>
      </c>
      <c r="I413" s="387">
        <f>H413/E413</f>
        <v>1</v>
      </c>
    </row>
    <row r="414" spans="1:9" s="690" customFormat="1">
      <c r="A414" s="722"/>
      <c r="B414" s="2593" t="s">
        <v>231</v>
      </c>
      <c r="C414" s="2593"/>
      <c r="D414" s="676"/>
      <c r="E414" s="389">
        <f t="shared" ref="E414:F414" si="83">SUM(E415)</f>
        <v>50900</v>
      </c>
      <c r="F414" s="389">
        <f t="shared" si="83"/>
        <v>50900</v>
      </c>
      <c r="G414" s="389"/>
      <c r="H414" s="389">
        <f t="shared" si="82"/>
        <v>50900</v>
      </c>
      <c r="I414" s="390">
        <f t="shared" si="76"/>
        <v>1</v>
      </c>
    </row>
    <row r="415" spans="1:9" s="690" customFormat="1" ht="51">
      <c r="A415" s="722"/>
      <c r="B415" s="780"/>
      <c r="C415" s="649" t="s">
        <v>484</v>
      </c>
      <c r="D415" s="763" t="s">
        <v>482</v>
      </c>
      <c r="E415" s="392">
        <v>50900</v>
      </c>
      <c r="F415" s="392">
        <v>50900</v>
      </c>
      <c r="G415" s="392"/>
      <c r="H415" s="392">
        <f t="shared" si="82"/>
        <v>50900</v>
      </c>
      <c r="I415" s="393">
        <f t="shared" si="76"/>
        <v>1</v>
      </c>
    </row>
    <row r="416" spans="1:9" s="690" customFormat="1" ht="15.75" thickBot="1">
      <c r="A416" s="722"/>
      <c r="B416" s="2589" t="s">
        <v>235</v>
      </c>
      <c r="C416" s="2589"/>
      <c r="D416" s="700"/>
      <c r="E416" s="477">
        <v>0</v>
      </c>
      <c r="F416" s="477">
        <v>0</v>
      </c>
      <c r="G416" s="477"/>
      <c r="H416" s="477">
        <f t="shared" si="82"/>
        <v>0</v>
      </c>
      <c r="I416" s="478"/>
    </row>
    <row r="417" spans="1:9" s="694" customFormat="1" ht="26.25" thickBot="1">
      <c r="A417" s="2592"/>
      <c r="B417" s="665">
        <v>90019</v>
      </c>
      <c r="C417" s="645" t="s">
        <v>485</v>
      </c>
      <c r="D417" s="666"/>
      <c r="E417" s="386">
        <f t="shared" ref="E417:F417" si="84">SUM(E418,E420)</f>
        <v>635000</v>
      </c>
      <c r="F417" s="386">
        <f t="shared" si="84"/>
        <v>350000</v>
      </c>
      <c r="G417" s="386"/>
      <c r="H417" s="386">
        <f t="shared" si="82"/>
        <v>350000</v>
      </c>
      <c r="I417" s="387">
        <f t="shared" si="76"/>
        <v>0.55118110236220474</v>
      </c>
    </row>
    <row r="418" spans="1:9" ht="14.25" customHeight="1">
      <c r="A418" s="2592"/>
      <c r="B418" s="2593" t="s">
        <v>231</v>
      </c>
      <c r="C418" s="2593"/>
      <c r="D418" s="676"/>
      <c r="E418" s="389">
        <f t="shared" ref="E418:F418" si="85">SUM(E419)</f>
        <v>635000</v>
      </c>
      <c r="F418" s="389">
        <f t="shared" si="85"/>
        <v>350000</v>
      </c>
      <c r="G418" s="389"/>
      <c r="H418" s="389">
        <f t="shared" si="82"/>
        <v>350000</v>
      </c>
      <c r="I418" s="390">
        <f t="shared" si="76"/>
        <v>0.55118110236220474</v>
      </c>
    </row>
    <row r="419" spans="1:9" ht="23.25" customHeight="1">
      <c r="A419" s="2592"/>
      <c r="B419" s="780"/>
      <c r="C419" s="649" t="s">
        <v>486</v>
      </c>
      <c r="D419" s="763" t="s">
        <v>251</v>
      </c>
      <c r="E419" s="392">
        <v>635000</v>
      </c>
      <c r="F419" s="392">
        <v>350000</v>
      </c>
      <c r="G419" s="392"/>
      <c r="H419" s="392">
        <f t="shared" si="82"/>
        <v>350000</v>
      </c>
      <c r="I419" s="393">
        <f t="shared" si="76"/>
        <v>0.55118110236220474</v>
      </c>
    </row>
    <row r="420" spans="1:9" ht="15.75" thickBot="1">
      <c r="A420" s="2592"/>
      <c r="B420" s="2589" t="s">
        <v>235</v>
      </c>
      <c r="C420" s="2589"/>
      <c r="D420" s="700"/>
      <c r="E420" s="477">
        <v>0</v>
      </c>
      <c r="F420" s="477">
        <v>0</v>
      </c>
      <c r="G420" s="477"/>
      <c r="H420" s="477">
        <f t="shared" si="82"/>
        <v>0</v>
      </c>
      <c r="I420" s="478"/>
    </row>
    <row r="421" spans="1:9" s="694" customFormat="1" ht="26.25" thickBot="1">
      <c r="A421" s="2592"/>
      <c r="B421" s="665">
        <v>90020</v>
      </c>
      <c r="C421" s="645" t="s">
        <v>487</v>
      </c>
      <c r="D421" s="666"/>
      <c r="E421" s="386">
        <f>SUM(E422,E426)</f>
        <v>7000</v>
      </c>
      <c r="F421" s="386">
        <f>SUM(F422,F426)</f>
        <v>10600</v>
      </c>
      <c r="G421" s="386"/>
      <c r="H421" s="386">
        <f t="shared" si="82"/>
        <v>10600</v>
      </c>
      <c r="I421" s="387">
        <f t="shared" si="76"/>
        <v>1.5142857142857142</v>
      </c>
    </row>
    <row r="422" spans="1:9">
      <c r="A422" s="2592"/>
      <c r="B422" s="2593" t="s">
        <v>231</v>
      </c>
      <c r="C422" s="2593"/>
      <c r="D422" s="676"/>
      <c r="E422" s="389">
        <f>SUM(E423:E425)</f>
        <v>7000</v>
      </c>
      <c r="F422" s="389">
        <f>SUM(F423:F425)</f>
        <v>10600</v>
      </c>
      <c r="G422" s="389"/>
      <c r="H422" s="389">
        <f t="shared" si="82"/>
        <v>10600</v>
      </c>
      <c r="I422" s="390">
        <f t="shared" si="76"/>
        <v>1.5142857142857142</v>
      </c>
    </row>
    <row r="423" spans="1:9" ht="25.5">
      <c r="A423" s="2592"/>
      <c r="B423" s="2594"/>
      <c r="C423" s="649" t="s">
        <v>488</v>
      </c>
      <c r="D423" s="784" t="s">
        <v>489</v>
      </c>
      <c r="E423" s="392">
        <v>6000</v>
      </c>
      <c r="F423" s="392">
        <v>10000</v>
      </c>
      <c r="G423" s="392"/>
      <c r="H423" s="392">
        <f t="shared" si="82"/>
        <v>10000</v>
      </c>
      <c r="I423" s="393">
        <f t="shared" si="76"/>
        <v>1.6666666666666667</v>
      </c>
    </row>
    <row r="424" spans="1:9" ht="38.25" customHeight="1">
      <c r="A424" s="2592"/>
      <c r="B424" s="2595"/>
      <c r="C424" s="785" t="s">
        <v>490</v>
      </c>
      <c r="D424" s="782" t="s">
        <v>491</v>
      </c>
      <c r="E424" s="392">
        <v>900</v>
      </c>
      <c r="F424" s="392">
        <v>500</v>
      </c>
      <c r="G424" s="392"/>
      <c r="H424" s="392">
        <f t="shared" si="82"/>
        <v>500</v>
      </c>
      <c r="I424" s="393">
        <f t="shared" si="76"/>
        <v>0.55555555555555558</v>
      </c>
    </row>
    <row r="425" spans="1:9" ht="25.5">
      <c r="A425" s="2592"/>
      <c r="B425" s="2596"/>
      <c r="C425" s="785" t="s">
        <v>492</v>
      </c>
      <c r="D425" s="782" t="s">
        <v>234</v>
      </c>
      <c r="E425" s="392">
        <v>100</v>
      </c>
      <c r="F425" s="392">
        <v>100</v>
      </c>
      <c r="G425" s="392"/>
      <c r="H425" s="392">
        <f t="shared" si="82"/>
        <v>100</v>
      </c>
      <c r="I425" s="393">
        <f t="shared" si="76"/>
        <v>1</v>
      </c>
    </row>
    <row r="426" spans="1:9" ht="15.75" thickBot="1">
      <c r="A426" s="2592"/>
      <c r="B426" s="2577" t="s">
        <v>235</v>
      </c>
      <c r="C426" s="2577"/>
      <c r="D426" s="697"/>
      <c r="E426" s="396">
        <v>0</v>
      </c>
      <c r="F426" s="396">
        <v>0</v>
      </c>
      <c r="G426" s="396"/>
      <c r="H426" s="396">
        <f t="shared" si="82"/>
        <v>0</v>
      </c>
      <c r="I426" s="397"/>
    </row>
    <row r="427" spans="1:9" ht="26.25" thickBot="1">
      <c r="A427" s="2592"/>
      <c r="B427" s="786">
        <v>90024</v>
      </c>
      <c r="C427" s="659" t="s">
        <v>493</v>
      </c>
      <c r="D427" s="730"/>
      <c r="E427" s="386">
        <f t="shared" ref="E427:F427" si="86">SUM(E432,E428)</f>
        <v>1500</v>
      </c>
      <c r="F427" s="386">
        <f t="shared" si="86"/>
        <v>1200</v>
      </c>
      <c r="G427" s="386"/>
      <c r="H427" s="386">
        <f t="shared" si="82"/>
        <v>1200</v>
      </c>
      <c r="I427" s="387">
        <f t="shared" si="76"/>
        <v>0.8</v>
      </c>
    </row>
    <row r="428" spans="1:9">
      <c r="A428" s="2592"/>
      <c r="B428" s="2574" t="s">
        <v>231</v>
      </c>
      <c r="C428" s="2597"/>
      <c r="D428" s="667"/>
      <c r="E428" s="389">
        <f>SUM(E429:E431)</f>
        <v>1500</v>
      </c>
      <c r="F428" s="389">
        <f>SUM(F429:F431)</f>
        <v>1200</v>
      </c>
      <c r="G428" s="389"/>
      <c r="H428" s="389">
        <f t="shared" si="82"/>
        <v>1200</v>
      </c>
      <c r="I428" s="390">
        <f t="shared" si="76"/>
        <v>0.8</v>
      </c>
    </row>
    <row r="429" spans="1:9" ht="16.5" hidden="1" customHeight="1">
      <c r="A429" s="2592"/>
      <c r="B429" s="2594"/>
      <c r="C429" s="2598" t="s">
        <v>494</v>
      </c>
      <c r="D429" s="787" t="s">
        <v>489</v>
      </c>
      <c r="E429" s="392">
        <v>100</v>
      </c>
      <c r="F429" s="392">
        <v>0</v>
      </c>
      <c r="G429" s="392"/>
      <c r="H429" s="392">
        <f t="shared" si="82"/>
        <v>0</v>
      </c>
      <c r="I429" s="393">
        <f t="shared" si="76"/>
        <v>0</v>
      </c>
    </row>
    <row r="430" spans="1:9" ht="15" customHeight="1">
      <c r="A430" s="2592"/>
      <c r="B430" s="2595"/>
      <c r="C430" s="2599"/>
      <c r="D430" s="788" t="s">
        <v>251</v>
      </c>
      <c r="E430" s="392">
        <v>1300</v>
      </c>
      <c r="F430" s="392">
        <v>1000</v>
      </c>
      <c r="G430" s="392"/>
      <c r="H430" s="392">
        <f t="shared" si="82"/>
        <v>1000</v>
      </c>
      <c r="I430" s="393">
        <f t="shared" si="76"/>
        <v>0.76923076923076927</v>
      </c>
    </row>
    <row r="431" spans="1:9" ht="15.75" customHeight="1">
      <c r="A431" s="2592"/>
      <c r="B431" s="2596"/>
      <c r="C431" s="2600"/>
      <c r="D431" s="788" t="s">
        <v>234</v>
      </c>
      <c r="E431" s="392">
        <v>100</v>
      </c>
      <c r="F431" s="392">
        <v>200</v>
      </c>
      <c r="G431" s="392"/>
      <c r="H431" s="392">
        <f t="shared" si="82"/>
        <v>200</v>
      </c>
      <c r="I431" s="393">
        <f t="shared" si="76"/>
        <v>2</v>
      </c>
    </row>
    <row r="432" spans="1:9" ht="15" customHeight="1" thickBot="1">
      <c r="A432" s="2592"/>
      <c r="B432" s="2589" t="s">
        <v>235</v>
      </c>
      <c r="C432" s="2589"/>
      <c r="D432" s="700"/>
      <c r="E432" s="477">
        <v>0</v>
      </c>
      <c r="F432" s="477">
        <v>0</v>
      </c>
      <c r="G432" s="477"/>
      <c r="H432" s="477">
        <f t="shared" si="82"/>
        <v>0</v>
      </c>
      <c r="I432" s="478"/>
    </row>
    <row r="433" spans="1:9" s="690" customFormat="1" ht="14.25" customHeight="1" thickBot="1">
      <c r="A433" s="789">
        <v>921</v>
      </c>
      <c r="B433" s="790"/>
      <c r="C433" s="791" t="s">
        <v>495</v>
      </c>
      <c r="D433" s="792"/>
      <c r="E433" s="381">
        <f t="shared" ref="E433:F433" si="87">SUM(E434,E438,E442,E446,E451,E455)</f>
        <v>4404497</v>
      </c>
      <c r="F433" s="381">
        <f t="shared" si="87"/>
        <v>4046000</v>
      </c>
      <c r="G433" s="381"/>
      <c r="H433" s="381">
        <f t="shared" si="82"/>
        <v>4046000</v>
      </c>
      <c r="I433" s="382">
        <f t="shared" si="76"/>
        <v>0.91860659684862989</v>
      </c>
    </row>
    <row r="434" spans="1:9" s="690" customFormat="1" ht="14.25" hidden="1" customHeight="1" thickBot="1">
      <c r="A434" s="339"/>
      <c r="B434" s="665">
        <v>92106</v>
      </c>
      <c r="C434" s="645" t="s">
        <v>496</v>
      </c>
      <c r="D434" s="666"/>
      <c r="E434" s="386">
        <f t="shared" ref="E434:F434" si="88">E435+E437</f>
        <v>50000</v>
      </c>
      <c r="F434" s="386">
        <f t="shared" si="88"/>
        <v>0</v>
      </c>
      <c r="G434" s="386"/>
      <c r="H434" s="386">
        <f t="shared" si="82"/>
        <v>0</v>
      </c>
      <c r="I434" s="387">
        <f t="shared" si="76"/>
        <v>0</v>
      </c>
    </row>
    <row r="435" spans="1:9" s="690" customFormat="1" ht="14.25" hidden="1" customHeight="1">
      <c r="A435" s="339"/>
      <c r="B435" s="2574" t="s">
        <v>231</v>
      </c>
      <c r="C435" s="2575"/>
      <c r="D435" s="724"/>
      <c r="E435" s="389">
        <f t="shared" ref="E435:F435" si="89">E436</f>
        <v>50000</v>
      </c>
      <c r="F435" s="389">
        <f t="shared" si="89"/>
        <v>0</v>
      </c>
      <c r="G435" s="389"/>
      <c r="H435" s="389">
        <f t="shared" si="82"/>
        <v>0</v>
      </c>
      <c r="I435" s="390">
        <f t="shared" si="76"/>
        <v>0</v>
      </c>
    </row>
    <row r="436" spans="1:9" s="690" customFormat="1" ht="30.75" hidden="1" customHeight="1">
      <c r="A436" s="339"/>
      <c r="B436" s="710"/>
      <c r="C436" s="661" t="s">
        <v>497</v>
      </c>
      <c r="D436" s="763" t="s">
        <v>298</v>
      </c>
      <c r="E436" s="392">
        <v>50000</v>
      </c>
      <c r="F436" s="392">
        <v>0</v>
      </c>
      <c r="G436" s="392"/>
      <c r="H436" s="392">
        <f t="shared" si="82"/>
        <v>0</v>
      </c>
      <c r="I436" s="393">
        <f t="shared" si="76"/>
        <v>0</v>
      </c>
    </row>
    <row r="437" spans="1:9" s="690" customFormat="1" ht="14.25" hidden="1" customHeight="1" thickBot="1">
      <c r="A437" s="339"/>
      <c r="B437" s="2576" t="s">
        <v>235</v>
      </c>
      <c r="C437" s="2577"/>
      <c r="D437" s="697"/>
      <c r="E437" s="396">
        <v>0</v>
      </c>
      <c r="F437" s="396">
        <v>0</v>
      </c>
      <c r="G437" s="396"/>
      <c r="H437" s="396">
        <f t="shared" si="82"/>
        <v>0</v>
      </c>
      <c r="I437" s="397"/>
    </row>
    <row r="438" spans="1:9" s="690" customFormat="1" ht="14.25" hidden="1" customHeight="1" thickBot="1">
      <c r="A438" s="339"/>
      <c r="B438" s="665">
        <v>92108</v>
      </c>
      <c r="C438" s="645" t="s">
        <v>498</v>
      </c>
      <c r="D438" s="666"/>
      <c r="E438" s="386">
        <f t="shared" ref="E438:F438" si="90">E439+E441</f>
        <v>140000</v>
      </c>
      <c r="F438" s="386">
        <f t="shared" si="90"/>
        <v>0</v>
      </c>
      <c r="G438" s="386"/>
      <c r="H438" s="386">
        <f t="shared" si="82"/>
        <v>0</v>
      </c>
      <c r="I438" s="387">
        <f t="shared" si="76"/>
        <v>0</v>
      </c>
    </row>
    <row r="439" spans="1:9" s="690" customFormat="1" ht="14.25" hidden="1" customHeight="1">
      <c r="A439" s="339"/>
      <c r="B439" s="2574" t="s">
        <v>231</v>
      </c>
      <c r="C439" s="2575"/>
      <c r="D439" s="724"/>
      <c r="E439" s="389">
        <f t="shared" ref="E439:F439" si="91">E440</f>
        <v>140000</v>
      </c>
      <c r="F439" s="389">
        <f t="shared" si="91"/>
        <v>0</v>
      </c>
      <c r="G439" s="389"/>
      <c r="H439" s="389">
        <f t="shared" si="82"/>
        <v>0</v>
      </c>
      <c r="I439" s="390">
        <f t="shared" si="76"/>
        <v>0</v>
      </c>
    </row>
    <row r="440" spans="1:9" s="690" customFormat="1" ht="28.5" hidden="1" customHeight="1">
      <c r="A440" s="339"/>
      <c r="B440" s="710"/>
      <c r="C440" s="661" t="s">
        <v>497</v>
      </c>
      <c r="D440" s="763" t="s">
        <v>298</v>
      </c>
      <c r="E440" s="392">
        <v>140000</v>
      </c>
      <c r="F440" s="392">
        <v>0</v>
      </c>
      <c r="G440" s="392"/>
      <c r="H440" s="392">
        <f t="shared" si="82"/>
        <v>0</v>
      </c>
      <c r="I440" s="393">
        <f t="shared" si="76"/>
        <v>0</v>
      </c>
    </row>
    <row r="441" spans="1:9" s="690" customFormat="1" ht="14.25" hidden="1" customHeight="1">
      <c r="A441" s="339"/>
      <c r="B441" s="2590" t="s">
        <v>235</v>
      </c>
      <c r="C441" s="2591"/>
      <c r="D441" s="725"/>
      <c r="E441" s="415">
        <v>0</v>
      </c>
      <c r="F441" s="415">
        <v>0</v>
      </c>
      <c r="G441" s="415"/>
      <c r="H441" s="415">
        <f t="shared" si="82"/>
        <v>0</v>
      </c>
      <c r="I441" s="416"/>
    </row>
    <row r="442" spans="1:9" s="690" customFormat="1" ht="16.5" hidden="1" customHeight="1" thickBot="1">
      <c r="A442" s="339"/>
      <c r="B442" s="786">
        <v>92109</v>
      </c>
      <c r="C442" s="659" t="s">
        <v>499</v>
      </c>
      <c r="D442" s="730"/>
      <c r="E442" s="430">
        <f>E443+E444</f>
        <v>24678</v>
      </c>
      <c r="F442" s="430">
        <f>F443+F444</f>
        <v>0</v>
      </c>
      <c r="G442" s="430"/>
      <c r="H442" s="430">
        <f t="shared" si="82"/>
        <v>0</v>
      </c>
      <c r="I442" s="431">
        <f t="shared" si="76"/>
        <v>0</v>
      </c>
    </row>
    <row r="443" spans="1:9" s="690" customFormat="1" ht="16.5" hidden="1" customHeight="1">
      <c r="A443" s="339"/>
      <c r="B443" s="2574" t="s">
        <v>440</v>
      </c>
      <c r="C443" s="2575"/>
      <c r="D443" s="724"/>
      <c r="E443" s="389">
        <v>0</v>
      </c>
      <c r="F443" s="389">
        <v>0</v>
      </c>
      <c r="G443" s="389"/>
      <c r="H443" s="389">
        <f t="shared" si="82"/>
        <v>0</v>
      </c>
      <c r="I443" s="390"/>
    </row>
    <row r="444" spans="1:9" s="690" customFormat="1" ht="16.5" hidden="1" customHeight="1">
      <c r="A444" s="339"/>
      <c r="B444" s="2588" t="s">
        <v>242</v>
      </c>
      <c r="C444" s="2589"/>
      <c r="D444" s="700"/>
      <c r="E444" s="458">
        <f t="shared" ref="E444:F444" si="92">E445</f>
        <v>24678</v>
      </c>
      <c r="F444" s="458">
        <f t="shared" si="92"/>
        <v>0</v>
      </c>
      <c r="G444" s="458"/>
      <c r="H444" s="458">
        <f t="shared" si="82"/>
        <v>0</v>
      </c>
      <c r="I444" s="459">
        <f t="shared" si="76"/>
        <v>0</v>
      </c>
    </row>
    <row r="445" spans="1:9" s="690" customFormat="1" ht="30" hidden="1" customHeight="1" thickBot="1">
      <c r="A445" s="339"/>
      <c r="B445" s="793"/>
      <c r="C445" s="794" t="s">
        <v>500</v>
      </c>
      <c r="D445" s="795" t="s">
        <v>501</v>
      </c>
      <c r="E445" s="491">
        <v>24678</v>
      </c>
      <c r="F445" s="491">
        <v>0</v>
      </c>
      <c r="G445" s="491"/>
      <c r="H445" s="491">
        <f t="shared" si="82"/>
        <v>0</v>
      </c>
      <c r="I445" s="492">
        <f t="shared" si="76"/>
        <v>0</v>
      </c>
    </row>
    <row r="446" spans="1:9" s="694" customFormat="1" ht="15.75" thickBot="1">
      <c r="A446" s="2573"/>
      <c r="B446" s="665">
        <v>92116</v>
      </c>
      <c r="C446" s="645" t="s">
        <v>502</v>
      </c>
      <c r="D446" s="666"/>
      <c r="E446" s="386">
        <f>SUM(E447,E450)</f>
        <v>3917000</v>
      </c>
      <c r="F446" s="386">
        <f>SUM(F447,F450)</f>
        <v>3913000</v>
      </c>
      <c r="G446" s="386"/>
      <c r="H446" s="386">
        <f t="shared" si="82"/>
        <v>3913000</v>
      </c>
      <c r="I446" s="387">
        <f t="shared" si="76"/>
        <v>0.99897881031401581</v>
      </c>
    </row>
    <row r="447" spans="1:9">
      <c r="A447" s="2573"/>
      <c r="B447" s="2574" t="s">
        <v>231</v>
      </c>
      <c r="C447" s="2575"/>
      <c r="D447" s="724"/>
      <c r="E447" s="389">
        <f>SUM(E448:E449)</f>
        <v>3917000</v>
      </c>
      <c r="F447" s="389">
        <f>SUM(F448:F449)</f>
        <v>3913000</v>
      </c>
      <c r="G447" s="389"/>
      <c r="H447" s="389">
        <f t="shared" si="82"/>
        <v>3913000</v>
      </c>
      <c r="I447" s="390">
        <f t="shared" si="76"/>
        <v>0.99897881031401581</v>
      </c>
    </row>
    <row r="448" spans="1:9" ht="41.25" customHeight="1">
      <c r="A448" s="2573"/>
      <c r="B448" s="2586"/>
      <c r="C448" s="649" t="s">
        <v>503</v>
      </c>
      <c r="D448" s="796">
        <v>2310</v>
      </c>
      <c r="E448" s="392">
        <v>3840000</v>
      </c>
      <c r="F448" s="392">
        <v>3840000</v>
      </c>
      <c r="G448" s="392"/>
      <c r="H448" s="392">
        <f t="shared" si="82"/>
        <v>3840000</v>
      </c>
      <c r="I448" s="393">
        <f t="shared" si="76"/>
        <v>1</v>
      </c>
    </row>
    <row r="449" spans="1:9" ht="36.75" customHeight="1">
      <c r="A449" s="2573"/>
      <c r="B449" s="2587"/>
      <c r="C449" s="649" t="s">
        <v>504</v>
      </c>
      <c r="D449" s="796">
        <v>2320</v>
      </c>
      <c r="E449" s="392">
        <v>77000</v>
      </c>
      <c r="F449" s="392">
        <v>73000</v>
      </c>
      <c r="G449" s="392"/>
      <c r="H449" s="392">
        <f t="shared" si="82"/>
        <v>73000</v>
      </c>
      <c r="I449" s="393">
        <f t="shared" si="76"/>
        <v>0.94805194805194803</v>
      </c>
    </row>
    <row r="450" spans="1:9" ht="15.75" thickBot="1">
      <c r="A450" s="2573"/>
      <c r="B450" s="2576" t="s">
        <v>235</v>
      </c>
      <c r="C450" s="2577"/>
      <c r="D450" s="697"/>
      <c r="E450" s="396">
        <v>0</v>
      </c>
      <c r="F450" s="396">
        <v>0</v>
      </c>
      <c r="G450" s="396"/>
      <c r="H450" s="396">
        <f t="shared" si="82"/>
        <v>0</v>
      </c>
      <c r="I450" s="397"/>
    </row>
    <row r="451" spans="1:9" ht="15.75" hidden="1" thickBot="1">
      <c r="A451" s="339"/>
      <c r="B451" s="665">
        <v>92118</v>
      </c>
      <c r="C451" s="645" t="s">
        <v>505</v>
      </c>
      <c r="D451" s="666"/>
      <c r="E451" s="386">
        <f>E452+E453</f>
        <v>229193</v>
      </c>
      <c r="F451" s="386">
        <f>F452+F453</f>
        <v>0</v>
      </c>
      <c r="G451" s="386"/>
      <c r="H451" s="386">
        <f t="shared" si="82"/>
        <v>0</v>
      </c>
      <c r="I451" s="387">
        <f t="shared" si="76"/>
        <v>0</v>
      </c>
    </row>
    <row r="452" spans="1:9" ht="15.75" hidden="1" thickBot="1">
      <c r="A452" s="339"/>
      <c r="B452" s="2574" t="s">
        <v>440</v>
      </c>
      <c r="C452" s="2575"/>
      <c r="D452" s="724"/>
      <c r="E452" s="389">
        <v>0</v>
      </c>
      <c r="F452" s="389">
        <v>0</v>
      </c>
      <c r="G452" s="389"/>
      <c r="H452" s="389">
        <f t="shared" si="82"/>
        <v>0</v>
      </c>
      <c r="I452" s="390"/>
    </row>
    <row r="453" spans="1:9" ht="15.75" hidden="1" thickBot="1">
      <c r="A453" s="339"/>
      <c r="B453" s="2588" t="s">
        <v>242</v>
      </c>
      <c r="C453" s="2589"/>
      <c r="D453" s="700"/>
      <c r="E453" s="458">
        <f t="shared" ref="E453:F453" si="93">E454</f>
        <v>229193</v>
      </c>
      <c r="F453" s="458">
        <f t="shared" si="93"/>
        <v>0</v>
      </c>
      <c r="G453" s="458"/>
      <c r="H453" s="458">
        <f t="shared" si="82"/>
        <v>0</v>
      </c>
      <c r="I453" s="459">
        <f t="shared" si="76"/>
        <v>0</v>
      </c>
    </row>
    <row r="454" spans="1:9" ht="26.25" hidden="1" thickBot="1">
      <c r="A454" s="339"/>
      <c r="B454" s="793"/>
      <c r="C454" s="794" t="s">
        <v>500</v>
      </c>
      <c r="D454" s="795" t="s">
        <v>501</v>
      </c>
      <c r="E454" s="491">
        <v>229193</v>
      </c>
      <c r="F454" s="491">
        <v>0</v>
      </c>
      <c r="G454" s="491"/>
      <c r="H454" s="491">
        <f t="shared" si="82"/>
        <v>0</v>
      </c>
      <c r="I454" s="492">
        <f t="shared" si="76"/>
        <v>0</v>
      </c>
    </row>
    <row r="455" spans="1:9" s="694" customFormat="1" ht="15.75" thickBot="1">
      <c r="A455" s="2573"/>
      <c r="B455" s="665">
        <v>92195</v>
      </c>
      <c r="C455" s="645" t="s">
        <v>254</v>
      </c>
      <c r="D455" s="666"/>
      <c r="E455" s="386">
        <f>E456+E458</f>
        <v>43626</v>
      </c>
      <c r="F455" s="386">
        <f>F456+F458</f>
        <v>133000</v>
      </c>
      <c r="G455" s="386"/>
      <c r="H455" s="386">
        <f t="shared" si="82"/>
        <v>133000</v>
      </c>
      <c r="I455" s="387">
        <f t="shared" si="76"/>
        <v>3.0486407188373907</v>
      </c>
    </row>
    <row r="456" spans="1:9">
      <c r="A456" s="2573"/>
      <c r="B456" s="2574" t="s">
        <v>231</v>
      </c>
      <c r="C456" s="2575"/>
      <c r="D456" s="797"/>
      <c r="E456" s="389">
        <f t="shared" ref="E456:F456" si="94">E457</f>
        <v>43626</v>
      </c>
      <c r="F456" s="389">
        <f t="shared" si="94"/>
        <v>133000</v>
      </c>
      <c r="G456" s="389"/>
      <c r="H456" s="389">
        <f t="shared" si="82"/>
        <v>133000</v>
      </c>
      <c r="I456" s="390">
        <f t="shared" si="76"/>
        <v>3.0486407188373907</v>
      </c>
    </row>
    <row r="457" spans="1:9" ht="53.25" customHeight="1">
      <c r="A457" s="2573"/>
      <c r="B457" s="708"/>
      <c r="C457" s="649" t="s">
        <v>506</v>
      </c>
      <c r="D457" s="763" t="s">
        <v>338</v>
      </c>
      <c r="E457" s="392">
        <v>43626</v>
      </c>
      <c r="F457" s="392">
        <v>133000</v>
      </c>
      <c r="G457" s="392"/>
      <c r="H457" s="392">
        <f t="shared" si="82"/>
        <v>133000</v>
      </c>
      <c r="I457" s="393">
        <f t="shared" si="76"/>
        <v>3.0486407188373907</v>
      </c>
    </row>
    <row r="458" spans="1:9" ht="15.75" thickBot="1">
      <c r="A458" s="2573"/>
      <c r="B458" s="2576" t="s">
        <v>235</v>
      </c>
      <c r="C458" s="2577"/>
      <c r="D458" s="697"/>
      <c r="E458" s="396">
        <v>0</v>
      </c>
      <c r="F458" s="396">
        <v>0</v>
      </c>
      <c r="G458" s="396"/>
      <c r="H458" s="396">
        <f t="shared" si="82"/>
        <v>0</v>
      </c>
      <c r="I458" s="459"/>
    </row>
    <row r="459" spans="1:9" s="690" customFormat="1" ht="30" customHeight="1" thickBot="1">
      <c r="A459" s="640">
        <v>925</v>
      </c>
      <c r="B459" s="798"/>
      <c r="C459" s="799" t="s">
        <v>507</v>
      </c>
      <c r="D459" s="800"/>
      <c r="E459" s="463">
        <f>SUM(E460,E466)</f>
        <v>743737</v>
      </c>
      <c r="F459" s="463">
        <f>SUM(F460,F466)</f>
        <v>730000</v>
      </c>
      <c r="G459" s="463"/>
      <c r="H459" s="463">
        <f t="shared" si="82"/>
        <v>730000</v>
      </c>
      <c r="I459" s="464">
        <f t="shared" ref="I459:I477" si="95">H459/E459</f>
        <v>0.98152976119246449</v>
      </c>
    </row>
    <row r="460" spans="1:9" s="694" customFormat="1" ht="15" customHeight="1" thickBot="1">
      <c r="A460" s="2578"/>
      <c r="B460" s="691">
        <v>92502</v>
      </c>
      <c r="C460" s="692" t="s">
        <v>508</v>
      </c>
      <c r="D460" s="693"/>
      <c r="E460" s="386">
        <f t="shared" ref="E460:F460" si="96">SUM(E465,E461)</f>
        <v>728174</v>
      </c>
      <c r="F460" s="386">
        <f t="shared" si="96"/>
        <v>730000</v>
      </c>
      <c r="G460" s="386"/>
      <c r="H460" s="386">
        <f t="shared" si="82"/>
        <v>730000</v>
      </c>
      <c r="I460" s="387">
        <f t="shared" si="95"/>
        <v>1.0025076424041506</v>
      </c>
    </row>
    <row r="461" spans="1:9">
      <c r="A461" s="2579"/>
      <c r="B461" s="2575" t="s">
        <v>231</v>
      </c>
      <c r="C461" s="2581"/>
      <c r="D461" s="797"/>
      <c r="E461" s="389">
        <f t="shared" ref="E461:F461" si="97">SUM(E462:E464)</f>
        <v>728174</v>
      </c>
      <c r="F461" s="389">
        <f t="shared" si="97"/>
        <v>730000</v>
      </c>
      <c r="G461" s="389"/>
      <c r="H461" s="389">
        <f t="shared" si="82"/>
        <v>730000</v>
      </c>
      <c r="I461" s="390">
        <f t="shared" si="95"/>
        <v>1.0025076424041506</v>
      </c>
    </row>
    <row r="462" spans="1:9" ht="25.5" hidden="1">
      <c r="A462" s="2579"/>
      <c r="B462" s="2582"/>
      <c r="C462" s="721" t="s">
        <v>509</v>
      </c>
      <c r="D462" s="801" t="s">
        <v>233</v>
      </c>
      <c r="E462" s="481">
        <v>3066</v>
      </c>
      <c r="F462" s="481">
        <v>0</v>
      </c>
      <c r="G462" s="481"/>
      <c r="H462" s="481">
        <f t="shared" si="82"/>
        <v>0</v>
      </c>
      <c r="I462" s="600">
        <f t="shared" si="95"/>
        <v>0</v>
      </c>
    </row>
    <row r="463" spans="1:9" ht="30.75" customHeight="1">
      <c r="A463" s="2579"/>
      <c r="B463" s="2583"/>
      <c r="C463" s="744" t="s">
        <v>448</v>
      </c>
      <c r="D463" s="802">
        <v>2230</v>
      </c>
      <c r="E463" s="411">
        <v>700000</v>
      </c>
      <c r="F463" s="392">
        <v>730000</v>
      </c>
      <c r="G463" s="392">
        <v>0</v>
      </c>
      <c r="H463" s="392">
        <f t="shared" si="82"/>
        <v>730000</v>
      </c>
      <c r="I463" s="393">
        <f t="shared" si="95"/>
        <v>1.0428571428571429</v>
      </c>
    </row>
    <row r="464" spans="1:9" ht="30.75" hidden="1" customHeight="1">
      <c r="A464" s="2579"/>
      <c r="B464" s="2584"/>
      <c r="C464" s="679" t="s">
        <v>255</v>
      </c>
      <c r="D464" s="803">
        <v>2460</v>
      </c>
      <c r="E464" s="392">
        <v>25108</v>
      </c>
      <c r="F464" s="392">
        <v>0</v>
      </c>
      <c r="G464" s="392"/>
      <c r="H464" s="392">
        <f t="shared" si="82"/>
        <v>0</v>
      </c>
      <c r="I464" s="393">
        <f t="shared" si="95"/>
        <v>0</v>
      </c>
    </row>
    <row r="465" spans="1:9" ht="15.75" thickBot="1">
      <c r="A465" s="2579"/>
      <c r="B465" s="2577" t="s">
        <v>235</v>
      </c>
      <c r="C465" s="2585"/>
      <c r="D465" s="804"/>
      <c r="E465" s="805">
        <v>0</v>
      </c>
      <c r="F465" s="805">
        <v>0</v>
      </c>
      <c r="G465" s="805"/>
      <c r="H465" s="805">
        <f t="shared" si="82"/>
        <v>0</v>
      </c>
      <c r="I465" s="806"/>
    </row>
    <row r="466" spans="1:9" ht="15.75" hidden="1" thickBot="1">
      <c r="A466" s="2579"/>
      <c r="B466" s="665">
        <v>92595</v>
      </c>
      <c r="C466" s="645" t="s">
        <v>254</v>
      </c>
      <c r="D466" s="666"/>
      <c r="E466" s="386">
        <f>E467+E469</f>
        <v>15563</v>
      </c>
      <c r="F466" s="386">
        <f>F467+F469</f>
        <v>0</v>
      </c>
      <c r="G466" s="386"/>
      <c r="H466" s="386">
        <f t="shared" si="82"/>
        <v>0</v>
      </c>
      <c r="I466" s="387">
        <f t="shared" si="95"/>
        <v>0</v>
      </c>
    </row>
    <row r="467" spans="1:9" ht="15.75" hidden="1" thickBot="1">
      <c r="A467" s="2579"/>
      <c r="B467" s="2575" t="s">
        <v>231</v>
      </c>
      <c r="C467" s="2575"/>
      <c r="D467" s="724"/>
      <c r="E467" s="389">
        <f t="shared" ref="E467:F467" si="98">+E468</f>
        <v>15563</v>
      </c>
      <c r="F467" s="389">
        <f t="shared" si="98"/>
        <v>0</v>
      </c>
      <c r="G467" s="389"/>
      <c r="H467" s="389">
        <f t="shared" si="82"/>
        <v>0</v>
      </c>
      <c r="I467" s="390">
        <f t="shared" si="95"/>
        <v>0</v>
      </c>
    </row>
    <row r="468" spans="1:9" ht="26.25" hidden="1" thickBot="1">
      <c r="A468" s="2579"/>
      <c r="B468" s="708"/>
      <c r="C468" s="807" t="s">
        <v>255</v>
      </c>
      <c r="D468" s="782" t="s">
        <v>482</v>
      </c>
      <c r="E468" s="445">
        <v>15563</v>
      </c>
      <c r="F468" s="445">
        <v>0</v>
      </c>
      <c r="G468" s="445"/>
      <c r="H468" s="445">
        <f t="shared" si="82"/>
        <v>0</v>
      </c>
      <c r="I468" s="446">
        <f t="shared" si="95"/>
        <v>0</v>
      </c>
    </row>
    <row r="469" spans="1:9" ht="15.75" hidden="1" thickBot="1">
      <c r="A469" s="2580"/>
      <c r="B469" s="2577" t="s">
        <v>235</v>
      </c>
      <c r="C469" s="2577"/>
      <c r="D469" s="697"/>
      <c r="E469" s="396">
        <v>0</v>
      </c>
      <c r="F469" s="396">
        <v>0</v>
      </c>
      <c r="G469" s="396"/>
      <c r="H469" s="396">
        <f t="shared" si="82"/>
        <v>0</v>
      </c>
      <c r="I469" s="397"/>
    </row>
    <row r="470" spans="1:9" ht="21.75" customHeight="1" thickBot="1">
      <c r="A470" s="2567" t="s">
        <v>510</v>
      </c>
      <c r="B470" s="2568"/>
      <c r="C470" s="2568"/>
      <c r="D470" s="808"/>
      <c r="E470" s="809">
        <f t="shared" ref="E470:F470" si="99">E10+E42+E48+E61+E116+E125+E148+E153+E160+E220+E233+E277+E321+E339+E362+E387+E404+E433+E459+E107+E53+E316+E215</f>
        <v>1434171333</v>
      </c>
      <c r="F470" s="809">
        <f t="shared" si="99"/>
        <v>1057971385</v>
      </c>
      <c r="G470" s="809">
        <f>G10+G42+G48+G61+G116+G125+G148+G153+G160+G220+G233+G277+G321+G339+G362+G387+G404+G433+G459+G107+G53+G316+G215</f>
        <v>179436703</v>
      </c>
      <c r="H470" s="809">
        <f>H10+H42+H48+H61+H116+H125+H148+H153+H160+H220+H233+H277+H321+H339+H362+H387+H404+H433+H459+H107+H53+H316+H215</f>
        <v>1237408088</v>
      </c>
      <c r="I470" s="810">
        <f t="shared" si="95"/>
        <v>0.86280352948597117</v>
      </c>
    </row>
    <row r="471" spans="1:9" ht="15" customHeight="1">
      <c r="A471" s="2569" t="s">
        <v>2</v>
      </c>
      <c r="B471" s="2570"/>
      <c r="C471" s="2570"/>
      <c r="D471" s="811"/>
      <c r="E471" s="812"/>
      <c r="F471" s="812"/>
      <c r="G471" s="812"/>
      <c r="H471" s="812"/>
      <c r="I471" s="813"/>
    </row>
    <row r="472" spans="1:9" ht="15" customHeight="1">
      <c r="A472" s="2571" t="s">
        <v>511</v>
      </c>
      <c r="B472" s="2572"/>
      <c r="C472" s="2572"/>
      <c r="D472" s="814"/>
      <c r="E472" s="815">
        <f>E12+E17+E25+E30+E38+E44+E50+E63+E72+E77+E81+E85+E102+E118+E127+E132+E136+E145+E150+E155+E162+E167+E178+E183+E197+E201+E222+E229+E235+E243+E247+E251+E255+E268+E279+E287+E292+E301+E327+E332+E336+E341+E345+E351+E364+E368+E389+E395+E399+E418+E422+E428+E447+E461+E456+E109+E34+E55+E192+E239+E283+E308+E318+E323+E327+E377+E409+E435+E439+E443+E452+E467+E414+E406+E113</f>
        <v>813683182</v>
      </c>
      <c r="F472" s="815">
        <f>F12+F17+F25+F30+F38+F44+F50+F63+F72+F77+F81+F85+F102+F118+F127+F132+F136+F145+F150+F155+F162+F167+F178+F183+F197+F201+F222+F229+F235+F243+F247+F251+F255+F268+F279+F287+F292+F301+F327+F332+F336+F341+F345+F351+F364+F368+F389+F395+F399+F418+F422+F428+F447+F461+F456+F109+F34+F55+F192+F239+F283+F308+F318+F323+F327+F377+F409+F435+F439+F443+F452+F467+F414+F406+F113</f>
        <v>757278293</v>
      </c>
      <c r="G472" s="815">
        <f>G12+G17+G25+G30+G38+G44+G50+G63+G72+G77+G81+G85+G102+G118+G127+G132+G136+G145+G150+G155+G162+G167+G178+G183+G197+G201+G222+G229+G235+G243+G247+G251+G255+G268+G279+G287+G292+G301+G327+G332+G336+G341+G345+G351+G364+G368+G389+G395+G399+G418+G422+G428+G447+G461+G456+G109+G34+G55+G192+G239+G283+G308+G318+G323+G327+G377+G409+G435+G439+G443+G452+G467+G414+G406+G113+G217</f>
        <v>55756880</v>
      </c>
      <c r="H472" s="815">
        <f>H12+H17+H25+H30+H38+H44+H50+H63+H72+H77+H81+H85+H102+H118+H127+H132+H136+H145+H150+H155+H162+H167+H178+H183+H197+H201+H222+H229+H235+H243+H247+H251+H255+H268+H279+H287+H292+H301+H327+H332+H336+H341+H345+H351+H364+H368+H389+H395+H399+H418+H422+H428+H447+H461+H456+H109+H34+H55+H192+H239+H283+H308+H318+H323+H327+H377+H409+H435+H439+H443+H452+H467+H414+H406+H113+H217</f>
        <v>813035173</v>
      </c>
      <c r="I472" s="816">
        <f t="shared" si="95"/>
        <v>0.99920361018350257</v>
      </c>
    </row>
    <row r="473" spans="1:9" ht="15" hidden="1" customHeight="1">
      <c r="A473" s="817" t="s">
        <v>512</v>
      </c>
      <c r="B473" s="818"/>
      <c r="C473" s="818"/>
      <c r="D473" s="814"/>
      <c r="E473" s="815">
        <f>E19+E26+E27+E39+E40+E45+E46+E67+E78+E88+E89+E90+E104+E114+E140+E141+E146+E163+E175+E179+E193+E198+E203+E204+E205+E206+E207+E208+E210+E212+E256+E257+E259+E269+E270+E271+E272+E273+E284+E293+E294+E296+E297+E305+E309+E333+E337+E342+E352+E353+E354+E356+E370+E371+E372+E373+E378+E379+E390+E391+E392+E396+E400+E411+E415+E436+E440+E448+E449+E463+E464+E468+E217</f>
        <v>280456870</v>
      </c>
      <c r="F473" s="815">
        <f>F19+F26+F27+F39+F40+F45+F46+F67+F78+F88+F89+F90+F104+F114+F140+F141+F146+F163+F175+F179+F193+F198+F203+F204+F205+F206+F207+F208+F210+F212+F256+F257+F259+F269+F270+F271+F272+F273+F284+F293+F294+F296+F297+F305+F309+F333+F337+F342+F352+F353+F354+F356+F370+F371+F372+F373+F378+F379+F390+F391+F392+F396+F400+F411+F415+F436+F440+F448+F449+F463+F464+F468+F217</f>
        <v>246966352</v>
      </c>
      <c r="G473" s="815">
        <f>G19+G26+G27+G39+G40+G45+G46+G67+G78+G88+G89+G90+G104+G114+G140+G141+G146+G163+G175+G179+G193+G198+G203+G204+G205+G206+G207+G208+G210+G212+G256+G257+G259+G269+G270+G271+G272+G273+G284+G293+G294+G296+G297+G305+G309+G333+G337+G342+G352+G353+G354+G356+G370+G371+G372+G373+G378+G379+G390+G391+G392+G396+G400+G411+G415+G436+G440+G448+G449+G463+G464+G468+G295+G298+G311+G218</f>
        <v>-2368992</v>
      </c>
      <c r="H473" s="815">
        <f>H19+H26+H27+H39+H40+H45+H46+H67+H78+H88+H89+H90+H104+H114+H140+H141+H146+H163+H175+H179+H193+H198+H203+H204+H205+H206+H207+H208+H210+H212+H256+H257+H259+H269+H270+H271+H272+H273+H284+H293+H294+H296+H297+H305+H309+H333+H337+H342+H352+H353+H354+H356+H370+H371+H372+H373+H378+H379+H390+H391+H392+H396+H400+H411+H415+H436+H440+H448+H449+H463+H464+H468+H295+H298+H311+H218</f>
        <v>244597360</v>
      </c>
      <c r="I473" s="816">
        <f t="shared" si="95"/>
        <v>0.87213894956468707</v>
      </c>
    </row>
    <row r="474" spans="1:9" ht="15" hidden="1" customHeight="1">
      <c r="A474" s="817" t="s">
        <v>513</v>
      </c>
      <c r="B474" s="818"/>
      <c r="C474" s="818"/>
      <c r="D474" s="814"/>
      <c r="E474" s="815">
        <f>E13+E14+E18+E20+E31+E35+E51+E56+E57+E58+E64+E65+E66+E68+E73+E86+E87+E103+E105+E110+E119+E120+E121+E128+E129+E133+E137+E138+E139+E142+E151+E156+E157+E158+E164+E168+E169+E170+E171+E172+E173+E180+E174+E184+E185+E186+E187+E188+E189+E202+E209+E211+E223+E224+E225+E226+E230+E231+E236+E244+E248++E252+E258+E280+E288+E289+E302+E303+E304+E310+E312+E313+E319+E346+E347+E348+E355+E357+E358+E365+E369+E380+E381+E382+E383+E384+E401+E402+E407+E419+E423+E424+E425+E429+E430+E431+E462+E82+E457</f>
        <v>533226312</v>
      </c>
      <c r="F474" s="815">
        <f>F13+F14+F18+F20+F31+F35+F51+F56+F57+F58+F64+F65+F66+F68+F73+F86+F87+F103+F105+F110+F119+F120+F121+F128+F129+F133+F137+F138+F139+F142+F151+F156+F157+F158+F164+F168+F169+F170+F171+F172+F173+F180+F174+F184+F185+F186+F187+F188+F189+F202+F209+F211+F223+F224+F225+F226+F230+F231+F236+F244+F248++F252+F258+F280+F288+F289+F302+F303+F304+F310+F312+F313+F319+F346+F347+F348+F355+F357+F358+F365+F369+F380+F381+F382+F383+F384+F401+F402+F407+F419+F423+F424+F425+F429+F430+F431+F462+F82+F457</f>
        <v>510311941</v>
      </c>
      <c r="G474" s="815">
        <f>G13+G14+G18+G20+G31+G35+G51+G56+G57+G58+G64+G65+G66+G68+G73+G86+G87+G103+G105+G110+G119+G120+G121+G128+G129+G133+G137+G138+G139+G142+G151+G156+G157+G158+G164+G168+G169+G170+G171+G172+G173+G180+G174+G184+G185+G186+G187+G188+G189+G202+G209+G211+G223+G224+G225+G226+G230+G231+G236+G244+G248++G252+G258+G280+G288+G289+G302+G303+G304+G310+G312+G313+G319+G346+G347+G348+G355+G357+G358+G365+G369+G380+G381+G382+G383+G384+G401+G402+G407+G419+G423+G424+G425+G429+G430+G431+G462+G82+G457</f>
        <v>58125872</v>
      </c>
      <c r="H474" s="815">
        <f>F474+G474</f>
        <v>568437813</v>
      </c>
      <c r="I474" s="816">
        <f t="shared" si="95"/>
        <v>1.0660348152512025</v>
      </c>
    </row>
    <row r="475" spans="1:9">
      <c r="A475" s="2571" t="s">
        <v>514</v>
      </c>
      <c r="B475" s="2572"/>
      <c r="C475" s="2572"/>
      <c r="D475" s="814"/>
      <c r="E475" s="815">
        <f>E15+E21+E28+E32+E41+E47+E52+E69+E74+E79+E83+E91+E106+E122+E130+E134+E143+E147+E152+E159+E165+E176+E181+E190+E199+E213+E227+E232+E237+E245+E249+E253+E260+E274+E281+E290+E299+E306+E328+E334+E338+E343+E349+E366+E374+E393+E397+E403+E420+E426+E432+E450+E465+E458+E59+E194+E240+E285+E314+E320+E324+E359+E385+E412+E437+E441+E444+E450+E453+E469+E408+E416+E115+E111+E36</f>
        <v>620488151</v>
      </c>
      <c r="F475" s="815">
        <f>F15+F21+F28+F32+F41+F47+F52+F69+F74+F79+F83+F91+F106+F122+F130+F134+F143+F147+F152+F159+F165+F176+F181+F190+F199+F213+F227+F232+F237+F245+F249+F253+F260+F274+F281+F290+F299+F306+F328+F334+F338+F343+F349+F366+F374+F393+F397+F403+F420+F426+F432+F450+F465+F458+F59+F194+F240+F285+F314+F320+F324+F359+F385+F412+F437+F441+F444+F450+F453+F469+F408+F416+F115+F111+F36</f>
        <v>300693092</v>
      </c>
      <c r="G475" s="815">
        <f>G15+G21+G28+G32+G41+G47+G52+G69+G74+G79+G83+G91+G106+G122+G130+G134+G143+G147+G152+G159+G165+G176+G181+G190+G199+G213+G227+G232+G237+G245+G249+G253+G260+G274+G281+G290+G299+G306+G328+G334+G338+G343+G349+G366+G374+G393+G397+G403+G420+G426+G432+G450+G465+G458+G59+G194+G240+G285+G314+G320+G324+G359+G385+G412+G437+G441+G444+G450+G453+G469+G408+G416+G115+G111+G36</f>
        <v>123679823</v>
      </c>
      <c r="H475" s="815">
        <f>F475+G475</f>
        <v>424372915</v>
      </c>
      <c r="I475" s="816">
        <f t="shared" si="95"/>
        <v>0.68393395476781638</v>
      </c>
    </row>
    <row r="476" spans="1:9" ht="15" hidden="1" customHeight="1">
      <c r="A476" s="817" t="s">
        <v>512</v>
      </c>
      <c r="B476" s="818"/>
      <c r="C476" s="818"/>
      <c r="D476" s="814"/>
      <c r="E476" s="815">
        <f>E22+E23+E70+E75+E92+E96+E97+E98+E99+E100+E195+E214+E261+E262+E263+E266+E275+E276+E325+E329+E375</f>
        <v>591357613</v>
      </c>
      <c r="F476" s="815">
        <f>F22+F23+F70+F75+F92+F96+F97+F98+F99+F100+F195+F214+F261+F262+F263+F266+F275+F276+F325+F329+F375</f>
        <v>270171686</v>
      </c>
      <c r="G476" s="815">
        <f>G22+G23+G70+G75+G92+G96+G97+G98+G99+G100+G195+G214+G261+G262+G263+G266+G275+G276+G325+G329+G375</f>
        <v>131224333</v>
      </c>
      <c r="H476" s="815">
        <f>F476+G476</f>
        <v>401396019</v>
      </c>
      <c r="I476" s="816">
        <f t="shared" si="95"/>
        <v>0.67877035853768575</v>
      </c>
    </row>
    <row r="477" spans="1:9" ht="15" hidden="1" customHeight="1" thickBot="1">
      <c r="A477" s="819" t="s">
        <v>513</v>
      </c>
      <c r="B477" s="820"/>
      <c r="C477" s="820"/>
      <c r="D477" s="821"/>
      <c r="E477" s="822">
        <f>E60+E123+E124+E241+E264+E265+E315+E360+E361+E386+E445+E454+E94+E93</f>
        <v>29130538</v>
      </c>
      <c r="F477" s="822">
        <f>F60+F123+F124+F241+F264+F265+F315+F360+F361+F386+F445+F454+F94+F93</f>
        <v>30521406</v>
      </c>
      <c r="G477" s="822">
        <f>G60+G123+G124+G241+G264+G265+G315+G360+G361+G386+G445+G454+G94+G93+G95</f>
        <v>-7544510</v>
      </c>
      <c r="H477" s="822">
        <f>F477+G477</f>
        <v>22976896</v>
      </c>
      <c r="I477" s="823">
        <f t="shared" si="95"/>
        <v>0.78875632163058573</v>
      </c>
    </row>
    <row r="479" spans="1:9">
      <c r="A479" s="363"/>
      <c r="B479" s="363"/>
      <c r="C479" s="455"/>
      <c r="D479" s="824"/>
      <c r="E479" s="370">
        <f>E472+E475</f>
        <v>1434171333</v>
      </c>
      <c r="F479" s="370">
        <f t="shared" ref="F479" si="100">F472+F475</f>
        <v>1057971385</v>
      </c>
      <c r="G479" s="370">
        <f>G472+G475</f>
        <v>179436703</v>
      </c>
      <c r="H479" s="370">
        <f>H472+H475</f>
        <v>1237408088</v>
      </c>
      <c r="I479" s="362">
        <f t="shared" ref="I479" si="101">H479/E479</f>
        <v>0.86280352948597117</v>
      </c>
    </row>
    <row r="480" spans="1:9">
      <c r="A480" s="363"/>
      <c r="B480" s="363"/>
      <c r="C480" s="455"/>
      <c r="D480" s="824"/>
    </row>
    <row r="481" spans="1:9">
      <c r="A481" s="363"/>
      <c r="B481" s="363"/>
      <c r="C481" s="455"/>
      <c r="D481" s="824"/>
    </row>
    <row r="482" spans="1:9">
      <c r="A482" s="363"/>
      <c r="B482" s="363"/>
      <c r="C482" s="455"/>
      <c r="D482" s="824"/>
    </row>
    <row r="483" spans="1:9">
      <c r="A483" s="363"/>
      <c r="B483" s="363"/>
      <c r="C483" s="455"/>
      <c r="D483" s="824"/>
    </row>
    <row r="484" spans="1:9">
      <c r="A484" s="363"/>
      <c r="B484" s="363"/>
      <c r="C484" s="455"/>
      <c r="D484" s="824"/>
    </row>
    <row r="485" spans="1:9">
      <c r="A485" s="363"/>
      <c r="B485" s="363"/>
      <c r="C485" s="455"/>
      <c r="D485" s="824"/>
    </row>
    <row r="486" spans="1:9" s="370" customFormat="1">
      <c r="A486" s="363"/>
      <c r="B486" s="363"/>
      <c r="C486" s="455"/>
      <c r="D486" s="824"/>
      <c r="I486" s="362"/>
    </row>
    <row r="487" spans="1:9" s="370" customFormat="1">
      <c r="A487" s="363"/>
      <c r="B487" s="363"/>
      <c r="C487" s="455"/>
      <c r="D487" s="824"/>
      <c r="I487" s="362"/>
    </row>
    <row r="488" spans="1:9" s="370" customFormat="1">
      <c r="A488" s="363"/>
      <c r="B488" s="363"/>
      <c r="C488" s="455"/>
      <c r="D488" s="824"/>
      <c r="I488" s="362"/>
    </row>
    <row r="489" spans="1:9" s="370" customFormat="1">
      <c r="A489" s="363"/>
      <c r="B489" s="363"/>
      <c r="C489" s="455"/>
      <c r="D489" s="824"/>
      <c r="I489" s="362"/>
    </row>
    <row r="490" spans="1:9" s="370" customFormat="1">
      <c r="A490" s="363"/>
      <c r="B490" s="363"/>
      <c r="C490" s="455"/>
      <c r="D490" s="824"/>
      <c r="I490" s="362"/>
    </row>
    <row r="491" spans="1:9" s="370" customFormat="1">
      <c r="A491" s="363"/>
      <c r="B491" s="363"/>
      <c r="C491" s="455"/>
      <c r="D491" s="824"/>
      <c r="I491" s="362"/>
    </row>
    <row r="492" spans="1:9" s="370" customFormat="1">
      <c r="A492" s="363"/>
      <c r="B492" s="363"/>
      <c r="C492" s="455"/>
      <c r="D492" s="824"/>
      <c r="I492" s="362"/>
    </row>
    <row r="493" spans="1:9" s="370" customFormat="1">
      <c r="A493" s="363"/>
      <c r="B493" s="363"/>
      <c r="C493" s="455"/>
      <c r="D493" s="824"/>
      <c r="I493" s="362"/>
    </row>
    <row r="494" spans="1:9" s="370" customFormat="1">
      <c r="A494" s="363"/>
      <c r="B494" s="363"/>
      <c r="C494" s="455"/>
      <c r="D494" s="824"/>
      <c r="I494" s="362"/>
    </row>
    <row r="495" spans="1:9" s="370" customFormat="1">
      <c r="A495" s="363"/>
      <c r="B495" s="363"/>
      <c r="C495" s="455"/>
      <c r="D495" s="824"/>
      <c r="I495" s="362"/>
    </row>
    <row r="496" spans="1:9" s="370" customFormat="1">
      <c r="A496" s="363"/>
      <c r="B496" s="363"/>
      <c r="C496" s="455"/>
      <c r="D496" s="824"/>
      <c r="I496" s="362"/>
    </row>
    <row r="497" spans="1:9" s="370" customFormat="1">
      <c r="A497" s="363"/>
      <c r="B497" s="363"/>
      <c r="C497" s="455"/>
      <c r="D497" s="824"/>
      <c r="I497" s="362"/>
    </row>
    <row r="498" spans="1:9" s="370" customFormat="1">
      <c r="A498" s="363"/>
      <c r="B498" s="363"/>
      <c r="C498" s="455"/>
      <c r="D498" s="363"/>
      <c r="I498" s="362"/>
    </row>
    <row r="499" spans="1:9" s="370" customFormat="1">
      <c r="A499" s="363"/>
      <c r="B499" s="363"/>
      <c r="C499" s="455"/>
      <c r="D499" s="363"/>
      <c r="I499" s="362"/>
    </row>
    <row r="500" spans="1:9" s="370" customFormat="1">
      <c r="A500" s="363"/>
      <c r="B500" s="363"/>
      <c r="C500" s="455"/>
      <c r="D500" s="363"/>
      <c r="I500" s="362"/>
    </row>
    <row r="501" spans="1:9" s="370" customFormat="1">
      <c r="A501" s="363"/>
      <c r="B501" s="363"/>
      <c r="C501" s="455"/>
      <c r="D501" s="363"/>
      <c r="I501" s="362"/>
    </row>
    <row r="502" spans="1:9" s="370" customFormat="1">
      <c r="A502" s="363"/>
      <c r="B502" s="363"/>
      <c r="C502" s="455"/>
      <c r="D502" s="363"/>
      <c r="I502" s="362"/>
    </row>
    <row r="503" spans="1:9" s="370" customFormat="1">
      <c r="A503" s="363"/>
      <c r="B503" s="363"/>
      <c r="C503" s="455"/>
      <c r="D503" s="363"/>
      <c r="I503" s="362"/>
    </row>
    <row r="504" spans="1:9" s="370" customFormat="1">
      <c r="A504" s="363"/>
      <c r="B504" s="363"/>
      <c r="C504" s="455"/>
      <c r="D504" s="363"/>
      <c r="I504" s="362"/>
    </row>
    <row r="505" spans="1:9" s="370" customFormat="1">
      <c r="A505" s="363"/>
      <c r="B505" s="363"/>
      <c r="C505" s="455"/>
      <c r="D505" s="363"/>
      <c r="I505" s="362"/>
    </row>
    <row r="506" spans="1:9" s="370" customFormat="1">
      <c r="A506" s="363"/>
      <c r="B506" s="363"/>
      <c r="C506" s="455"/>
      <c r="D506" s="363"/>
      <c r="I506" s="362"/>
    </row>
    <row r="507" spans="1:9" s="370" customFormat="1">
      <c r="A507" s="363"/>
      <c r="B507" s="363"/>
      <c r="C507" s="455"/>
      <c r="D507" s="363"/>
      <c r="I507" s="362"/>
    </row>
    <row r="508" spans="1:9" s="370" customFormat="1">
      <c r="A508" s="363"/>
      <c r="B508" s="363"/>
      <c r="C508" s="455"/>
      <c r="D508" s="363"/>
      <c r="I508" s="362"/>
    </row>
    <row r="509" spans="1:9" s="370" customFormat="1">
      <c r="A509" s="363"/>
      <c r="B509" s="363"/>
      <c r="C509" s="455"/>
      <c r="D509" s="363"/>
      <c r="I509" s="362"/>
    </row>
    <row r="510" spans="1:9" s="370" customFormat="1">
      <c r="A510" s="363"/>
      <c r="B510" s="363"/>
      <c r="C510" s="455"/>
      <c r="D510" s="363"/>
      <c r="I510" s="362"/>
    </row>
    <row r="511" spans="1:9" s="370" customFormat="1">
      <c r="A511" s="363"/>
      <c r="B511" s="363"/>
      <c r="C511" s="455"/>
      <c r="D511" s="363"/>
      <c r="I511" s="362"/>
    </row>
    <row r="512" spans="1:9" s="370" customFormat="1">
      <c r="A512" s="363"/>
      <c r="B512" s="363"/>
      <c r="C512" s="455"/>
      <c r="D512" s="363"/>
      <c r="I512" s="362"/>
    </row>
    <row r="513" spans="1:9" s="370" customFormat="1">
      <c r="A513" s="363"/>
      <c r="B513" s="363"/>
      <c r="C513" s="455"/>
      <c r="D513" s="363"/>
      <c r="I513" s="362"/>
    </row>
    <row r="514" spans="1:9" s="370" customFormat="1">
      <c r="A514" s="363"/>
      <c r="B514" s="363"/>
      <c r="C514" s="455"/>
      <c r="D514" s="363"/>
      <c r="I514" s="362"/>
    </row>
    <row r="515" spans="1:9" s="370" customFormat="1">
      <c r="A515" s="363"/>
      <c r="B515" s="363"/>
      <c r="C515" s="455"/>
      <c r="D515" s="363"/>
      <c r="I515" s="362"/>
    </row>
    <row r="516" spans="1:9" s="370" customFormat="1">
      <c r="A516" s="363"/>
      <c r="B516" s="363"/>
      <c r="C516" s="455"/>
      <c r="D516" s="363"/>
      <c r="I516" s="362"/>
    </row>
    <row r="517" spans="1:9" s="370" customFormat="1">
      <c r="A517" s="363"/>
      <c r="B517" s="363"/>
      <c r="C517" s="455"/>
      <c r="D517" s="363"/>
      <c r="I517" s="362"/>
    </row>
    <row r="518" spans="1:9" s="370" customFormat="1">
      <c r="A518" s="363"/>
      <c r="B518" s="363"/>
      <c r="C518" s="455"/>
      <c r="D518" s="363"/>
      <c r="I518" s="362"/>
    </row>
    <row r="519" spans="1:9" s="370" customFormat="1">
      <c r="A519" s="363"/>
      <c r="B519" s="363"/>
      <c r="C519" s="455"/>
      <c r="D519" s="363"/>
      <c r="I519" s="362"/>
    </row>
    <row r="520" spans="1:9" s="370" customFormat="1">
      <c r="A520" s="363"/>
      <c r="B520" s="363"/>
      <c r="C520" s="455"/>
      <c r="D520" s="363"/>
      <c r="I520" s="362"/>
    </row>
    <row r="521" spans="1:9" s="370" customFormat="1">
      <c r="A521" s="363"/>
      <c r="B521" s="363"/>
      <c r="C521" s="455"/>
      <c r="D521" s="363"/>
      <c r="I521" s="362"/>
    </row>
    <row r="522" spans="1:9" s="370" customFormat="1">
      <c r="A522" s="363"/>
      <c r="B522" s="363"/>
      <c r="C522" s="455"/>
      <c r="D522" s="363"/>
      <c r="I522" s="362"/>
    </row>
    <row r="523" spans="1:9" s="370" customFormat="1">
      <c r="A523" s="363"/>
      <c r="B523" s="363"/>
      <c r="C523" s="455"/>
      <c r="D523" s="363"/>
      <c r="I523" s="362"/>
    </row>
    <row r="524" spans="1:9" s="370" customFormat="1">
      <c r="A524" s="363"/>
      <c r="B524" s="363"/>
      <c r="C524" s="455"/>
      <c r="D524" s="363"/>
      <c r="I524" s="362"/>
    </row>
    <row r="525" spans="1:9" s="370" customFormat="1">
      <c r="A525" s="363"/>
      <c r="B525" s="363"/>
      <c r="C525" s="455"/>
      <c r="D525" s="363"/>
      <c r="I525" s="362"/>
    </row>
    <row r="526" spans="1:9" s="370" customFormat="1">
      <c r="A526" s="363"/>
      <c r="B526" s="363"/>
      <c r="C526" s="455"/>
      <c r="D526" s="363"/>
      <c r="I526" s="362"/>
    </row>
    <row r="527" spans="1:9" s="370" customFormat="1">
      <c r="A527" s="363"/>
      <c r="B527" s="363"/>
      <c r="C527" s="455"/>
      <c r="D527" s="363"/>
      <c r="I527" s="362"/>
    </row>
    <row r="528" spans="1:9" s="370" customFormat="1">
      <c r="A528" s="363"/>
      <c r="B528" s="363"/>
      <c r="C528" s="455"/>
      <c r="D528" s="363"/>
      <c r="I528" s="362"/>
    </row>
    <row r="529" spans="1:9" s="370" customFormat="1">
      <c r="A529" s="363"/>
      <c r="B529" s="363"/>
      <c r="C529" s="455"/>
      <c r="D529" s="363"/>
      <c r="I529" s="362"/>
    </row>
    <row r="530" spans="1:9" s="370" customFormat="1">
      <c r="A530" s="363"/>
      <c r="B530" s="363"/>
      <c r="C530" s="455"/>
      <c r="D530" s="363"/>
      <c r="I530" s="362"/>
    </row>
    <row r="531" spans="1:9" s="370" customFormat="1">
      <c r="A531" s="363"/>
      <c r="B531" s="363"/>
      <c r="C531" s="455"/>
      <c r="D531" s="363"/>
      <c r="I531" s="362"/>
    </row>
    <row r="532" spans="1:9" s="370" customFormat="1">
      <c r="A532" s="363"/>
      <c r="B532" s="363"/>
      <c r="C532" s="455"/>
      <c r="D532" s="363"/>
      <c r="I532" s="362"/>
    </row>
    <row r="533" spans="1:9" s="370" customFormat="1">
      <c r="A533" s="363"/>
      <c r="B533" s="363"/>
      <c r="C533" s="455"/>
      <c r="D533" s="363"/>
      <c r="I533" s="362"/>
    </row>
    <row r="534" spans="1:9" s="370" customFormat="1">
      <c r="A534" s="363"/>
      <c r="B534" s="363"/>
      <c r="C534" s="455"/>
      <c r="D534" s="363"/>
      <c r="I534" s="362"/>
    </row>
    <row r="535" spans="1:9" s="370" customFormat="1">
      <c r="A535" s="363"/>
      <c r="B535" s="363"/>
      <c r="C535" s="455"/>
      <c r="D535" s="363"/>
      <c r="I535" s="362"/>
    </row>
    <row r="536" spans="1:9" s="370" customFormat="1">
      <c r="A536" s="363"/>
      <c r="B536" s="363"/>
      <c r="C536" s="455"/>
      <c r="D536" s="363"/>
      <c r="I536" s="362"/>
    </row>
    <row r="537" spans="1:9" s="370" customFormat="1">
      <c r="A537" s="363"/>
      <c r="B537" s="363"/>
      <c r="C537" s="455"/>
      <c r="D537" s="363"/>
      <c r="I537" s="362"/>
    </row>
    <row r="538" spans="1:9" s="370" customFormat="1">
      <c r="A538" s="363"/>
      <c r="B538" s="363"/>
      <c r="C538" s="455"/>
      <c r="D538" s="363"/>
      <c r="I538" s="362"/>
    </row>
    <row r="539" spans="1:9" s="370" customFormat="1">
      <c r="A539" s="363"/>
      <c r="B539" s="363"/>
      <c r="C539" s="455"/>
      <c r="D539" s="363"/>
      <c r="I539" s="362"/>
    </row>
    <row r="540" spans="1:9" s="370" customFormat="1">
      <c r="A540" s="363"/>
      <c r="B540" s="363"/>
      <c r="C540" s="455"/>
      <c r="D540" s="363"/>
      <c r="I540" s="362"/>
    </row>
    <row r="541" spans="1:9" s="370" customFormat="1">
      <c r="A541" s="363"/>
      <c r="B541" s="363"/>
      <c r="C541" s="455"/>
      <c r="D541" s="363"/>
      <c r="I541" s="362"/>
    </row>
    <row r="542" spans="1:9" s="370" customFormat="1">
      <c r="A542" s="363"/>
      <c r="B542" s="363"/>
      <c r="C542" s="455"/>
      <c r="D542" s="363"/>
      <c r="I542" s="362"/>
    </row>
    <row r="543" spans="1:9" s="370" customFormat="1">
      <c r="A543" s="363"/>
      <c r="B543" s="363"/>
      <c r="C543" s="455"/>
      <c r="D543" s="363"/>
      <c r="I543" s="362"/>
    </row>
    <row r="544" spans="1:9" s="370" customFormat="1">
      <c r="A544" s="363"/>
      <c r="B544" s="363"/>
      <c r="C544" s="455"/>
      <c r="D544" s="363"/>
      <c r="I544" s="362"/>
    </row>
    <row r="545" spans="1:9" s="370" customFormat="1">
      <c r="A545" s="363"/>
      <c r="B545" s="363"/>
      <c r="C545" s="455"/>
      <c r="D545" s="363"/>
      <c r="I545" s="362"/>
    </row>
    <row r="546" spans="1:9" s="370" customFormat="1">
      <c r="A546" s="363"/>
      <c r="B546" s="363"/>
      <c r="C546" s="455"/>
      <c r="D546" s="363"/>
      <c r="I546" s="362"/>
    </row>
    <row r="547" spans="1:9" s="370" customFormat="1">
      <c r="A547" s="363"/>
      <c r="B547" s="363"/>
      <c r="C547" s="455"/>
      <c r="D547" s="363"/>
      <c r="I547" s="362"/>
    </row>
    <row r="548" spans="1:9" s="370" customFormat="1">
      <c r="A548" s="363"/>
      <c r="B548" s="363"/>
      <c r="C548" s="455"/>
      <c r="D548" s="363"/>
      <c r="I548" s="362"/>
    </row>
    <row r="549" spans="1:9" s="370" customFormat="1">
      <c r="A549" s="363"/>
      <c r="B549" s="363"/>
      <c r="C549" s="455"/>
      <c r="D549" s="363"/>
      <c r="I549" s="362"/>
    </row>
    <row r="550" spans="1:9" s="370" customFormat="1">
      <c r="A550" s="363"/>
      <c r="B550" s="363"/>
      <c r="C550" s="455"/>
      <c r="D550" s="363"/>
      <c r="I550" s="362"/>
    </row>
    <row r="551" spans="1:9" s="370" customFormat="1">
      <c r="A551" s="363"/>
      <c r="B551" s="363"/>
      <c r="C551" s="455"/>
      <c r="D551" s="363"/>
      <c r="I551" s="362"/>
    </row>
    <row r="552" spans="1:9" s="370" customFormat="1">
      <c r="A552" s="363"/>
      <c r="B552" s="363"/>
      <c r="C552" s="455"/>
      <c r="D552" s="363"/>
      <c r="I552" s="362"/>
    </row>
    <row r="553" spans="1:9" s="370" customFormat="1">
      <c r="A553" s="363"/>
      <c r="B553" s="363"/>
      <c r="C553" s="455"/>
      <c r="D553" s="363"/>
      <c r="I553" s="362"/>
    </row>
    <row r="554" spans="1:9" s="370" customFormat="1">
      <c r="A554" s="363"/>
      <c r="B554" s="363"/>
      <c r="C554" s="455"/>
      <c r="D554" s="363"/>
      <c r="I554" s="362"/>
    </row>
    <row r="555" spans="1:9" s="370" customFormat="1">
      <c r="A555" s="363"/>
      <c r="B555" s="363"/>
      <c r="C555" s="455"/>
      <c r="D555" s="363"/>
      <c r="I555" s="362"/>
    </row>
    <row r="556" spans="1:9" s="370" customFormat="1">
      <c r="A556" s="363"/>
      <c r="B556" s="363"/>
      <c r="C556" s="455"/>
      <c r="D556" s="363"/>
      <c r="I556" s="362"/>
    </row>
    <row r="557" spans="1:9" s="370" customFormat="1">
      <c r="A557" s="363"/>
      <c r="B557" s="363"/>
      <c r="C557" s="455"/>
      <c r="D557" s="363"/>
      <c r="I557" s="362"/>
    </row>
    <row r="558" spans="1:9" s="370" customFormat="1">
      <c r="A558" s="363"/>
      <c r="B558" s="363"/>
      <c r="C558" s="455"/>
      <c r="D558" s="363"/>
      <c r="I558" s="362"/>
    </row>
    <row r="559" spans="1:9" s="370" customFormat="1">
      <c r="A559" s="363"/>
      <c r="B559" s="363"/>
      <c r="C559" s="455"/>
      <c r="D559" s="363"/>
      <c r="I559" s="362"/>
    </row>
    <row r="560" spans="1:9" s="370" customFormat="1">
      <c r="A560" s="363"/>
      <c r="B560" s="363"/>
      <c r="C560" s="455"/>
      <c r="D560" s="363"/>
      <c r="I560" s="362"/>
    </row>
    <row r="561" spans="1:9" s="370" customFormat="1">
      <c r="A561" s="363"/>
      <c r="B561" s="363"/>
      <c r="C561" s="455"/>
      <c r="D561" s="363"/>
      <c r="I561" s="362"/>
    </row>
    <row r="562" spans="1:9" s="370" customFormat="1">
      <c r="A562" s="363"/>
      <c r="B562" s="363"/>
      <c r="C562" s="455"/>
      <c r="D562" s="363"/>
      <c r="I562" s="362"/>
    </row>
    <row r="563" spans="1:9" s="370" customFormat="1">
      <c r="A563" s="363"/>
      <c r="B563" s="363"/>
      <c r="C563" s="455"/>
      <c r="D563" s="363"/>
      <c r="I563" s="362"/>
    </row>
    <row r="564" spans="1:9" s="370" customFormat="1">
      <c r="A564" s="363"/>
      <c r="B564" s="363"/>
      <c r="C564" s="455"/>
      <c r="D564" s="363"/>
      <c r="I564" s="362"/>
    </row>
    <row r="565" spans="1:9" s="370" customFormat="1">
      <c r="A565" s="363"/>
      <c r="B565" s="363"/>
      <c r="C565" s="455"/>
      <c r="D565" s="363"/>
      <c r="I565" s="362"/>
    </row>
    <row r="566" spans="1:9" s="370" customFormat="1">
      <c r="A566" s="363"/>
      <c r="B566" s="363"/>
      <c r="C566" s="455"/>
      <c r="D566" s="363"/>
      <c r="I566" s="362"/>
    </row>
    <row r="567" spans="1:9" s="370" customFormat="1">
      <c r="A567" s="363"/>
      <c r="B567" s="363"/>
      <c r="C567" s="455"/>
      <c r="D567" s="363"/>
      <c r="I567" s="362"/>
    </row>
    <row r="568" spans="1:9" s="370" customFormat="1">
      <c r="A568" s="363"/>
      <c r="B568" s="363"/>
      <c r="C568" s="455"/>
      <c r="D568" s="363"/>
      <c r="I568" s="362"/>
    </row>
    <row r="569" spans="1:9" s="370" customFormat="1">
      <c r="A569" s="363"/>
      <c r="B569" s="363"/>
      <c r="C569" s="455"/>
      <c r="D569" s="363"/>
      <c r="I569" s="362"/>
    </row>
    <row r="570" spans="1:9" s="370" customFormat="1">
      <c r="A570" s="363"/>
      <c r="B570" s="363"/>
      <c r="C570" s="455"/>
      <c r="D570" s="363"/>
      <c r="I570" s="362"/>
    </row>
    <row r="571" spans="1:9" s="370" customFormat="1">
      <c r="A571" s="363"/>
      <c r="B571" s="363"/>
      <c r="C571" s="455"/>
      <c r="D571" s="363"/>
      <c r="I571" s="362"/>
    </row>
    <row r="572" spans="1:9" s="370" customFormat="1">
      <c r="A572" s="363"/>
      <c r="B572" s="363"/>
      <c r="C572" s="455"/>
      <c r="D572" s="363"/>
      <c r="I572" s="362"/>
    </row>
    <row r="573" spans="1:9" s="370" customFormat="1">
      <c r="A573" s="363"/>
      <c r="B573" s="363"/>
      <c r="C573" s="455"/>
      <c r="D573" s="363"/>
      <c r="I573" s="362"/>
    </row>
    <row r="574" spans="1:9" s="370" customFormat="1">
      <c r="A574" s="363"/>
      <c r="B574" s="363"/>
      <c r="C574" s="455"/>
      <c r="D574" s="363"/>
      <c r="I574" s="362"/>
    </row>
    <row r="575" spans="1:9" s="370" customFormat="1">
      <c r="A575" s="363"/>
      <c r="B575" s="363"/>
      <c r="C575" s="455"/>
      <c r="D575" s="363"/>
      <c r="I575" s="362"/>
    </row>
    <row r="576" spans="1:9" s="370" customFormat="1">
      <c r="A576" s="363"/>
      <c r="B576" s="363"/>
      <c r="C576" s="455"/>
      <c r="D576" s="363"/>
      <c r="I576" s="362"/>
    </row>
    <row r="577" spans="1:9" s="370" customFormat="1">
      <c r="A577" s="363"/>
      <c r="B577" s="363"/>
      <c r="C577" s="455"/>
      <c r="D577" s="363"/>
      <c r="I577" s="362"/>
    </row>
    <row r="578" spans="1:9" s="370" customFormat="1">
      <c r="A578" s="363"/>
      <c r="B578" s="363"/>
      <c r="C578" s="455"/>
      <c r="D578" s="363"/>
      <c r="I578" s="362"/>
    </row>
    <row r="579" spans="1:9" s="370" customFormat="1">
      <c r="A579" s="363"/>
      <c r="B579" s="363"/>
      <c r="C579" s="455"/>
      <c r="D579" s="363"/>
      <c r="I579" s="362"/>
    </row>
    <row r="580" spans="1:9" s="370" customFormat="1">
      <c r="A580" s="363"/>
      <c r="B580" s="363"/>
      <c r="C580" s="455"/>
      <c r="D580" s="363"/>
      <c r="I580" s="362"/>
    </row>
    <row r="581" spans="1:9" s="370" customFormat="1">
      <c r="A581" s="363"/>
      <c r="B581" s="363"/>
      <c r="C581" s="455"/>
      <c r="D581" s="363"/>
      <c r="I581" s="362"/>
    </row>
    <row r="582" spans="1:9" s="370" customFormat="1">
      <c r="A582" s="363"/>
      <c r="B582" s="363"/>
      <c r="C582" s="455"/>
      <c r="D582" s="363"/>
      <c r="I582" s="362"/>
    </row>
    <row r="583" spans="1:9" s="370" customFormat="1">
      <c r="A583" s="363"/>
      <c r="B583" s="363"/>
      <c r="C583" s="455"/>
      <c r="D583" s="363"/>
      <c r="I583" s="362"/>
    </row>
    <row r="584" spans="1:9" s="370" customFormat="1">
      <c r="A584" s="363"/>
      <c r="B584" s="363"/>
      <c r="C584" s="455"/>
      <c r="D584" s="363"/>
      <c r="I584" s="362"/>
    </row>
    <row r="585" spans="1:9" s="370" customFormat="1">
      <c r="A585" s="363"/>
      <c r="B585" s="363"/>
      <c r="C585" s="455"/>
      <c r="D585" s="363"/>
      <c r="I585" s="362"/>
    </row>
    <row r="586" spans="1:9" s="370" customFormat="1">
      <c r="A586" s="363"/>
      <c r="B586" s="363"/>
      <c r="C586" s="455"/>
      <c r="D586" s="363"/>
      <c r="I586" s="362"/>
    </row>
    <row r="587" spans="1:9" s="370" customFormat="1">
      <c r="A587" s="363"/>
      <c r="B587" s="363"/>
      <c r="C587" s="455"/>
      <c r="D587" s="363"/>
      <c r="I587" s="362"/>
    </row>
    <row r="588" spans="1:9" s="370" customFormat="1">
      <c r="A588" s="363"/>
      <c r="B588" s="363"/>
      <c r="C588" s="455"/>
      <c r="D588" s="363"/>
      <c r="I588" s="362"/>
    </row>
    <row r="589" spans="1:9" s="370" customFormat="1">
      <c r="A589" s="363"/>
      <c r="B589" s="363"/>
      <c r="C589" s="455"/>
      <c r="D589" s="363"/>
      <c r="I589" s="362"/>
    </row>
    <row r="590" spans="1:9" s="370" customFormat="1">
      <c r="A590" s="363"/>
      <c r="B590" s="363"/>
      <c r="C590" s="455"/>
      <c r="D590" s="363"/>
      <c r="I590" s="362"/>
    </row>
    <row r="591" spans="1:9" s="370" customFormat="1">
      <c r="A591" s="363"/>
      <c r="B591" s="363"/>
      <c r="C591" s="455"/>
      <c r="D591" s="363"/>
      <c r="I591" s="362"/>
    </row>
    <row r="592" spans="1:9" s="370" customFormat="1">
      <c r="A592" s="363"/>
      <c r="B592" s="363"/>
      <c r="C592" s="455"/>
      <c r="D592" s="363"/>
      <c r="I592" s="362"/>
    </row>
    <row r="593" spans="1:9" s="370" customFormat="1">
      <c r="A593" s="363"/>
      <c r="B593" s="363"/>
      <c r="C593" s="455"/>
      <c r="D593" s="363"/>
      <c r="I593" s="362"/>
    </row>
    <row r="594" spans="1:9" s="370" customFormat="1">
      <c r="A594" s="363"/>
      <c r="B594" s="363"/>
      <c r="C594" s="455"/>
      <c r="D594" s="363"/>
      <c r="I594" s="362"/>
    </row>
    <row r="595" spans="1:9" s="370" customFormat="1">
      <c r="A595" s="363"/>
      <c r="B595" s="363"/>
      <c r="C595" s="455"/>
      <c r="D595" s="363"/>
      <c r="I595" s="362"/>
    </row>
    <row r="596" spans="1:9" s="370" customFormat="1">
      <c r="A596" s="363"/>
      <c r="B596" s="363"/>
      <c r="C596" s="455"/>
      <c r="D596" s="363"/>
      <c r="I596" s="362"/>
    </row>
    <row r="597" spans="1:9" s="370" customFormat="1">
      <c r="A597" s="363"/>
      <c r="B597" s="363"/>
      <c r="C597" s="455"/>
      <c r="D597" s="363"/>
      <c r="I597" s="362"/>
    </row>
    <row r="598" spans="1:9" s="370" customFormat="1">
      <c r="A598" s="363"/>
      <c r="B598" s="363"/>
      <c r="C598" s="455"/>
      <c r="D598" s="363"/>
      <c r="I598" s="362"/>
    </row>
    <row r="599" spans="1:9" s="370" customFormat="1">
      <c r="A599" s="363"/>
      <c r="B599" s="363"/>
      <c r="C599" s="455"/>
      <c r="D599" s="363"/>
      <c r="I599" s="362"/>
    </row>
    <row r="600" spans="1:9" s="370" customFormat="1">
      <c r="A600" s="363"/>
      <c r="B600" s="363"/>
      <c r="C600" s="455"/>
      <c r="D600" s="363"/>
      <c r="I600" s="362"/>
    </row>
    <row r="601" spans="1:9" s="370" customFormat="1">
      <c r="A601" s="363"/>
      <c r="B601" s="363"/>
      <c r="C601" s="455"/>
      <c r="D601" s="363"/>
      <c r="I601" s="362"/>
    </row>
    <row r="602" spans="1:9" s="370" customFormat="1">
      <c r="A602" s="363"/>
      <c r="B602" s="363"/>
      <c r="C602" s="455"/>
      <c r="D602" s="363"/>
      <c r="I602" s="362"/>
    </row>
    <row r="603" spans="1:9" s="370" customFormat="1">
      <c r="A603" s="363"/>
      <c r="B603" s="363"/>
      <c r="C603" s="455"/>
      <c r="D603" s="363"/>
      <c r="I603" s="362"/>
    </row>
    <row r="604" spans="1:9" s="370" customFormat="1">
      <c r="A604" s="363"/>
      <c r="B604" s="363"/>
      <c r="C604" s="455"/>
      <c r="D604" s="363"/>
      <c r="I604" s="362"/>
    </row>
    <row r="605" spans="1:9" s="370" customFormat="1">
      <c r="A605" s="363"/>
      <c r="B605" s="363"/>
      <c r="C605" s="455"/>
      <c r="D605" s="363"/>
      <c r="I605" s="362"/>
    </row>
    <row r="606" spans="1:9" s="370" customFormat="1">
      <c r="A606" s="363"/>
      <c r="B606" s="363"/>
      <c r="C606" s="455"/>
      <c r="D606" s="363"/>
      <c r="I606" s="362"/>
    </row>
    <row r="607" spans="1:9" s="370" customFormat="1">
      <c r="A607" s="363"/>
      <c r="B607" s="363"/>
      <c r="C607" s="455"/>
      <c r="D607" s="363"/>
      <c r="I607" s="362"/>
    </row>
    <row r="608" spans="1:9" s="370" customFormat="1">
      <c r="A608" s="363"/>
      <c r="B608" s="363"/>
      <c r="C608" s="455"/>
      <c r="D608" s="363"/>
      <c r="I608" s="362"/>
    </row>
    <row r="609" spans="1:9" s="370" customFormat="1">
      <c r="A609" s="363"/>
      <c r="B609" s="363"/>
      <c r="C609" s="455"/>
      <c r="D609" s="363"/>
      <c r="I609" s="362"/>
    </row>
    <row r="610" spans="1:9" s="370" customFormat="1">
      <c r="A610" s="363"/>
      <c r="B610" s="363"/>
      <c r="C610" s="455"/>
      <c r="D610" s="363"/>
      <c r="I610" s="362"/>
    </row>
    <row r="611" spans="1:9" s="370" customFormat="1">
      <c r="A611" s="363"/>
      <c r="B611" s="363"/>
      <c r="C611" s="455"/>
      <c r="D611" s="363"/>
      <c r="I611" s="362"/>
    </row>
    <row r="612" spans="1:9" s="370" customFormat="1">
      <c r="A612" s="363"/>
      <c r="B612" s="363"/>
      <c r="C612" s="455"/>
      <c r="D612" s="363"/>
      <c r="I612" s="362"/>
    </row>
    <row r="613" spans="1:9" s="370" customFormat="1">
      <c r="A613" s="363"/>
      <c r="B613" s="363"/>
      <c r="C613" s="455"/>
      <c r="D613" s="363"/>
      <c r="I613" s="362"/>
    </row>
    <row r="614" spans="1:9" s="370" customFormat="1">
      <c r="A614" s="363"/>
      <c r="B614" s="363"/>
      <c r="C614" s="455"/>
      <c r="D614" s="363"/>
      <c r="I614" s="362"/>
    </row>
    <row r="615" spans="1:9" s="370" customFormat="1">
      <c r="A615" s="363"/>
      <c r="B615" s="363"/>
      <c r="C615" s="455"/>
      <c r="D615" s="363"/>
      <c r="I615" s="362"/>
    </row>
    <row r="616" spans="1:9" s="370" customFormat="1">
      <c r="A616" s="363"/>
      <c r="B616" s="363"/>
      <c r="C616" s="455"/>
      <c r="D616" s="363"/>
      <c r="I616" s="362"/>
    </row>
    <row r="617" spans="1:9" s="370" customFormat="1">
      <c r="A617" s="363"/>
      <c r="B617" s="363"/>
      <c r="C617" s="455"/>
      <c r="D617" s="363"/>
      <c r="I617" s="362"/>
    </row>
    <row r="618" spans="1:9" s="370" customFormat="1">
      <c r="A618" s="363"/>
      <c r="B618" s="363"/>
      <c r="C618" s="455"/>
      <c r="D618" s="363"/>
      <c r="I618" s="362"/>
    </row>
    <row r="619" spans="1:9" s="370" customFormat="1">
      <c r="A619" s="363"/>
      <c r="B619" s="363"/>
      <c r="C619" s="455"/>
      <c r="D619" s="363"/>
      <c r="I619" s="362"/>
    </row>
    <row r="620" spans="1:9" s="370" customFormat="1">
      <c r="A620" s="363"/>
      <c r="B620" s="363"/>
      <c r="C620" s="455"/>
      <c r="D620" s="363"/>
      <c r="I620" s="362"/>
    </row>
    <row r="621" spans="1:9" s="370" customFormat="1">
      <c r="A621" s="363"/>
      <c r="B621" s="363"/>
      <c r="C621" s="455"/>
      <c r="D621" s="363"/>
      <c r="I621" s="362"/>
    </row>
    <row r="622" spans="1:9" s="370" customFormat="1">
      <c r="A622" s="363"/>
      <c r="B622" s="363"/>
      <c r="C622" s="455"/>
      <c r="D622" s="363"/>
      <c r="I622" s="362"/>
    </row>
    <row r="623" spans="1:9" s="370" customFormat="1">
      <c r="A623" s="363"/>
      <c r="B623" s="363"/>
      <c r="C623" s="455"/>
      <c r="D623" s="363"/>
      <c r="I623" s="362"/>
    </row>
    <row r="624" spans="1:9" s="370" customFormat="1">
      <c r="A624" s="363"/>
      <c r="B624" s="363"/>
      <c r="C624" s="455"/>
      <c r="D624" s="363"/>
      <c r="I624" s="362"/>
    </row>
    <row r="625" spans="1:9" s="370" customFormat="1">
      <c r="A625" s="363"/>
      <c r="B625" s="363"/>
      <c r="C625" s="455"/>
      <c r="D625" s="363"/>
      <c r="I625" s="362"/>
    </row>
    <row r="626" spans="1:9" s="370" customFormat="1">
      <c r="A626" s="363"/>
      <c r="B626" s="363"/>
      <c r="C626" s="455"/>
      <c r="D626" s="363"/>
      <c r="I626" s="362"/>
    </row>
    <row r="627" spans="1:9" s="370" customFormat="1">
      <c r="A627" s="363"/>
      <c r="B627" s="363"/>
      <c r="C627" s="455"/>
      <c r="D627" s="363"/>
      <c r="I627" s="362"/>
    </row>
    <row r="628" spans="1:9" s="370" customFormat="1">
      <c r="A628" s="363"/>
      <c r="B628" s="363"/>
      <c r="C628" s="455"/>
      <c r="D628" s="363"/>
      <c r="I628" s="362"/>
    </row>
    <row r="629" spans="1:9" s="370" customFormat="1">
      <c r="A629" s="363"/>
      <c r="B629" s="363"/>
      <c r="C629" s="455"/>
      <c r="D629" s="363"/>
      <c r="I629" s="362"/>
    </row>
    <row r="630" spans="1:9" s="370" customFormat="1">
      <c r="A630" s="363"/>
      <c r="B630" s="363"/>
      <c r="C630" s="455"/>
      <c r="D630" s="363"/>
      <c r="I630" s="362"/>
    </row>
    <row r="631" spans="1:9" s="370" customFormat="1">
      <c r="A631" s="363"/>
      <c r="B631" s="363"/>
      <c r="C631" s="455"/>
      <c r="D631" s="363"/>
      <c r="I631" s="362"/>
    </row>
    <row r="632" spans="1:9" s="370" customFormat="1">
      <c r="A632" s="363"/>
      <c r="B632" s="363"/>
      <c r="C632" s="455"/>
      <c r="D632" s="363"/>
      <c r="I632" s="362"/>
    </row>
    <row r="633" spans="1:9" s="370" customFormat="1">
      <c r="A633" s="363"/>
      <c r="B633" s="363"/>
      <c r="C633" s="455"/>
      <c r="D633" s="363"/>
      <c r="I633" s="362"/>
    </row>
    <row r="634" spans="1:9" s="370" customFormat="1">
      <c r="A634" s="363"/>
      <c r="B634" s="363"/>
      <c r="C634" s="455"/>
      <c r="D634" s="363"/>
      <c r="I634" s="362"/>
    </row>
    <row r="635" spans="1:9" s="370" customFormat="1">
      <c r="A635" s="363"/>
      <c r="B635" s="363"/>
      <c r="C635" s="455"/>
      <c r="D635" s="363"/>
      <c r="I635" s="362"/>
    </row>
    <row r="636" spans="1:9" s="370" customFormat="1">
      <c r="A636" s="363"/>
      <c r="B636" s="363"/>
      <c r="C636" s="455"/>
      <c r="D636" s="363"/>
      <c r="I636" s="362"/>
    </row>
    <row r="637" spans="1:9" s="370" customFormat="1">
      <c r="A637" s="363"/>
      <c r="B637" s="363"/>
      <c r="C637" s="455"/>
      <c r="D637" s="363"/>
      <c r="I637" s="362"/>
    </row>
    <row r="638" spans="1:9" s="370" customFormat="1">
      <c r="A638" s="363"/>
      <c r="B638" s="363"/>
      <c r="C638" s="455"/>
      <c r="D638" s="363"/>
      <c r="I638" s="362"/>
    </row>
    <row r="639" spans="1:9" s="370" customFormat="1">
      <c r="A639" s="363"/>
      <c r="B639" s="363"/>
      <c r="C639" s="455"/>
      <c r="D639" s="363"/>
      <c r="I639" s="362"/>
    </row>
    <row r="640" spans="1:9" s="370" customFormat="1">
      <c r="A640" s="363"/>
      <c r="B640" s="363"/>
      <c r="C640" s="455"/>
      <c r="D640" s="363"/>
      <c r="I640" s="362"/>
    </row>
    <row r="641" spans="1:9" s="370" customFormat="1">
      <c r="A641" s="363"/>
      <c r="B641" s="363"/>
      <c r="C641" s="455"/>
      <c r="D641" s="363"/>
      <c r="I641" s="362"/>
    </row>
    <row r="642" spans="1:9" s="370" customFormat="1">
      <c r="A642" s="363"/>
      <c r="B642" s="363"/>
      <c r="C642" s="455"/>
      <c r="D642" s="363"/>
      <c r="I642" s="362"/>
    </row>
    <row r="643" spans="1:9" s="370" customFormat="1">
      <c r="A643" s="363"/>
      <c r="B643" s="363"/>
      <c r="C643" s="455"/>
      <c r="D643" s="363"/>
      <c r="I643" s="362"/>
    </row>
    <row r="644" spans="1:9" s="370" customFormat="1">
      <c r="A644" s="363"/>
      <c r="B644" s="363"/>
      <c r="C644" s="455"/>
      <c r="D644" s="363"/>
      <c r="I644" s="362"/>
    </row>
    <row r="645" spans="1:9" s="370" customFormat="1">
      <c r="A645" s="363"/>
      <c r="B645" s="363"/>
      <c r="C645" s="455"/>
      <c r="D645" s="363"/>
      <c r="I645" s="362"/>
    </row>
    <row r="646" spans="1:9" s="370" customFormat="1">
      <c r="A646" s="363"/>
      <c r="B646" s="363"/>
      <c r="C646" s="455"/>
      <c r="D646" s="363"/>
      <c r="I646" s="362"/>
    </row>
    <row r="647" spans="1:9" s="370" customFormat="1">
      <c r="A647" s="363"/>
      <c r="B647" s="363"/>
      <c r="C647" s="455"/>
      <c r="D647" s="363"/>
      <c r="I647" s="362"/>
    </row>
    <row r="648" spans="1:9" s="370" customFormat="1">
      <c r="A648" s="363"/>
      <c r="B648" s="363"/>
      <c r="C648" s="455"/>
      <c r="D648" s="363"/>
      <c r="I648" s="362"/>
    </row>
    <row r="649" spans="1:9" s="370" customFormat="1">
      <c r="A649" s="363"/>
      <c r="B649" s="363"/>
      <c r="C649" s="455"/>
      <c r="D649" s="363"/>
      <c r="I649" s="362"/>
    </row>
    <row r="650" spans="1:9" s="370" customFormat="1">
      <c r="A650" s="363"/>
      <c r="B650" s="363"/>
      <c r="C650" s="455"/>
      <c r="D650" s="363"/>
      <c r="I650" s="362"/>
    </row>
    <row r="651" spans="1:9" s="370" customFormat="1">
      <c r="A651" s="363"/>
      <c r="B651" s="363"/>
      <c r="C651" s="455"/>
      <c r="D651" s="363"/>
      <c r="I651" s="362"/>
    </row>
    <row r="652" spans="1:9" s="370" customFormat="1">
      <c r="A652" s="363"/>
      <c r="B652" s="363"/>
      <c r="C652" s="455"/>
      <c r="D652" s="363"/>
      <c r="I652" s="362"/>
    </row>
    <row r="653" spans="1:9" s="370" customFormat="1">
      <c r="A653" s="363"/>
      <c r="B653" s="363"/>
      <c r="C653" s="455"/>
      <c r="D653" s="363"/>
      <c r="I653" s="362"/>
    </row>
    <row r="654" spans="1:9" s="370" customFormat="1">
      <c r="A654" s="363"/>
      <c r="B654" s="363"/>
      <c r="C654" s="455"/>
      <c r="D654" s="363"/>
      <c r="I654" s="362"/>
    </row>
    <row r="655" spans="1:9" s="370" customFormat="1">
      <c r="A655" s="363"/>
      <c r="B655" s="363"/>
      <c r="C655" s="455"/>
      <c r="D655" s="363"/>
      <c r="I655" s="362"/>
    </row>
    <row r="656" spans="1:9" s="370" customFormat="1">
      <c r="A656" s="363"/>
      <c r="B656" s="363"/>
      <c r="C656" s="455"/>
      <c r="D656" s="363"/>
      <c r="I656" s="362"/>
    </row>
    <row r="657" spans="1:9" s="370" customFormat="1">
      <c r="A657" s="363"/>
      <c r="B657" s="363"/>
      <c r="C657" s="455"/>
      <c r="D657" s="363"/>
      <c r="I657" s="362"/>
    </row>
    <row r="658" spans="1:9" s="370" customFormat="1">
      <c r="A658" s="363"/>
      <c r="B658" s="363"/>
      <c r="C658" s="455"/>
      <c r="D658" s="363"/>
      <c r="I658" s="362"/>
    </row>
    <row r="659" spans="1:9" s="370" customFormat="1">
      <c r="A659" s="363"/>
      <c r="B659" s="363"/>
      <c r="C659" s="455"/>
      <c r="D659" s="363"/>
      <c r="I659" s="362"/>
    </row>
    <row r="660" spans="1:9" s="370" customFormat="1">
      <c r="A660" s="363"/>
      <c r="B660" s="363"/>
      <c r="C660" s="455"/>
      <c r="D660" s="363"/>
      <c r="I660" s="362"/>
    </row>
    <row r="661" spans="1:9" s="370" customFormat="1">
      <c r="A661" s="363"/>
      <c r="B661" s="363"/>
      <c r="C661" s="455"/>
      <c r="D661" s="363"/>
      <c r="I661" s="362"/>
    </row>
    <row r="662" spans="1:9" s="370" customFormat="1">
      <c r="A662" s="363"/>
      <c r="B662" s="363"/>
      <c r="C662" s="455"/>
      <c r="D662" s="363"/>
      <c r="I662" s="362"/>
    </row>
    <row r="663" spans="1:9" s="370" customFormat="1">
      <c r="A663" s="363"/>
      <c r="B663" s="363"/>
      <c r="C663" s="455"/>
      <c r="D663" s="363"/>
      <c r="I663" s="362"/>
    </row>
    <row r="664" spans="1:9" s="370" customFormat="1">
      <c r="A664" s="363"/>
      <c r="B664" s="363"/>
      <c r="C664" s="455"/>
      <c r="D664" s="363"/>
      <c r="I664" s="362"/>
    </row>
    <row r="665" spans="1:9" s="370" customFormat="1">
      <c r="A665" s="363"/>
      <c r="B665" s="363"/>
      <c r="C665" s="455"/>
      <c r="D665" s="363"/>
      <c r="I665" s="362"/>
    </row>
    <row r="666" spans="1:9" s="370" customFormat="1">
      <c r="A666" s="363"/>
      <c r="B666" s="363"/>
      <c r="C666" s="455"/>
      <c r="D666" s="363"/>
      <c r="I666" s="362"/>
    </row>
    <row r="667" spans="1:9" s="370" customFormat="1">
      <c r="A667" s="363"/>
      <c r="B667" s="363"/>
      <c r="C667" s="455"/>
      <c r="D667" s="363"/>
      <c r="I667" s="362"/>
    </row>
    <row r="668" spans="1:9" s="370" customFormat="1">
      <c r="A668" s="363"/>
      <c r="B668" s="363"/>
      <c r="C668" s="455"/>
      <c r="D668" s="363"/>
      <c r="I668" s="362"/>
    </row>
    <row r="669" spans="1:9" s="370" customFormat="1">
      <c r="A669" s="363"/>
      <c r="B669" s="363"/>
      <c r="C669" s="455"/>
      <c r="D669" s="363"/>
      <c r="I669" s="362"/>
    </row>
    <row r="670" spans="1:9" s="370" customFormat="1">
      <c r="A670" s="363"/>
      <c r="B670" s="363"/>
      <c r="C670" s="455"/>
      <c r="D670" s="363"/>
      <c r="I670" s="362"/>
    </row>
    <row r="671" spans="1:9" s="370" customFormat="1">
      <c r="A671" s="363"/>
      <c r="B671" s="363"/>
      <c r="C671" s="455"/>
      <c r="D671" s="363"/>
      <c r="I671" s="362"/>
    </row>
    <row r="672" spans="1:9" s="370" customFormat="1">
      <c r="A672" s="363"/>
      <c r="B672" s="363"/>
      <c r="C672" s="455"/>
      <c r="D672" s="363"/>
      <c r="I672" s="362"/>
    </row>
    <row r="673" spans="1:9" s="370" customFormat="1">
      <c r="A673" s="363"/>
      <c r="B673" s="363"/>
      <c r="C673" s="455"/>
      <c r="D673" s="363"/>
      <c r="I673" s="362"/>
    </row>
    <row r="674" spans="1:9" s="370" customFormat="1">
      <c r="A674" s="363"/>
      <c r="B674" s="363"/>
      <c r="C674" s="455"/>
      <c r="D674" s="363"/>
      <c r="I674" s="362"/>
    </row>
    <row r="675" spans="1:9" s="370" customFormat="1">
      <c r="A675" s="363"/>
      <c r="B675" s="363"/>
      <c r="C675" s="455"/>
      <c r="D675" s="363"/>
      <c r="I675" s="362"/>
    </row>
    <row r="676" spans="1:9" s="370" customFormat="1">
      <c r="A676" s="363"/>
      <c r="B676" s="363"/>
      <c r="C676" s="455"/>
      <c r="D676" s="363"/>
      <c r="I676" s="362"/>
    </row>
    <row r="677" spans="1:9" s="370" customFormat="1">
      <c r="A677" s="363"/>
      <c r="B677" s="363"/>
      <c r="C677" s="455"/>
      <c r="D677" s="363"/>
      <c r="I677" s="362"/>
    </row>
    <row r="678" spans="1:9" s="370" customFormat="1">
      <c r="A678" s="363"/>
      <c r="B678" s="363"/>
      <c r="C678" s="455"/>
      <c r="D678" s="363"/>
      <c r="I678" s="362"/>
    </row>
    <row r="679" spans="1:9" s="370" customFormat="1">
      <c r="A679" s="363"/>
      <c r="B679" s="363"/>
      <c r="C679" s="455"/>
      <c r="D679" s="363"/>
      <c r="I679" s="362"/>
    </row>
    <row r="680" spans="1:9" s="370" customFormat="1">
      <c r="A680" s="363"/>
      <c r="B680" s="363"/>
      <c r="C680" s="455"/>
      <c r="D680" s="363"/>
      <c r="I680" s="362"/>
    </row>
    <row r="681" spans="1:9" s="370" customFormat="1">
      <c r="A681" s="363"/>
      <c r="B681" s="363"/>
      <c r="C681" s="455"/>
      <c r="D681" s="363"/>
      <c r="I681" s="362"/>
    </row>
    <row r="682" spans="1:9" s="370" customFormat="1">
      <c r="A682" s="363"/>
      <c r="B682" s="363"/>
      <c r="C682" s="455"/>
      <c r="D682" s="363"/>
      <c r="I682" s="362"/>
    </row>
    <row r="683" spans="1:9" s="370" customFormat="1">
      <c r="A683" s="363"/>
      <c r="B683" s="363"/>
      <c r="C683" s="455"/>
      <c r="D683" s="363"/>
      <c r="I683" s="362"/>
    </row>
    <row r="684" spans="1:9" s="370" customFormat="1">
      <c r="A684" s="363"/>
      <c r="B684" s="363"/>
      <c r="C684" s="455"/>
      <c r="D684" s="363"/>
      <c r="I684" s="362"/>
    </row>
    <row r="685" spans="1:9" s="370" customFormat="1">
      <c r="A685" s="363"/>
      <c r="B685" s="363"/>
      <c r="C685" s="455"/>
      <c r="D685" s="363"/>
      <c r="I685" s="362"/>
    </row>
    <row r="686" spans="1:9" s="370" customFormat="1">
      <c r="A686" s="363"/>
      <c r="B686" s="363"/>
      <c r="C686" s="455"/>
      <c r="D686" s="363"/>
      <c r="I686" s="362"/>
    </row>
    <row r="687" spans="1:9" s="370" customFormat="1">
      <c r="A687" s="363"/>
      <c r="B687" s="363"/>
      <c r="C687" s="455"/>
      <c r="D687" s="363"/>
      <c r="I687" s="362"/>
    </row>
    <row r="688" spans="1:9" s="370" customFormat="1">
      <c r="A688" s="363"/>
      <c r="B688" s="363"/>
      <c r="C688" s="455"/>
      <c r="D688" s="363"/>
      <c r="I688" s="362"/>
    </row>
    <row r="689" spans="1:9" s="370" customFormat="1">
      <c r="A689" s="363"/>
      <c r="B689" s="363"/>
      <c r="C689" s="455"/>
      <c r="D689" s="363"/>
      <c r="I689" s="362"/>
    </row>
    <row r="690" spans="1:9" s="370" customFormat="1">
      <c r="A690" s="363"/>
      <c r="B690" s="363"/>
      <c r="C690" s="455"/>
      <c r="D690" s="363"/>
      <c r="I690" s="362"/>
    </row>
    <row r="691" spans="1:9" s="370" customFormat="1">
      <c r="A691" s="363"/>
      <c r="B691" s="363"/>
      <c r="C691" s="455"/>
      <c r="D691" s="363"/>
      <c r="I691" s="362"/>
    </row>
    <row r="692" spans="1:9" s="370" customFormat="1">
      <c r="A692" s="363"/>
      <c r="B692" s="363"/>
      <c r="C692" s="455"/>
      <c r="D692" s="363"/>
      <c r="I692" s="362"/>
    </row>
    <row r="693" spans="1:9" s="370" customFormat="1">
      <c r="A693" s="363"/>
      <c r="B693" s="363"/>
      <c r="C693" s="455"/>
      <c r="D693" s="363"/>
      <c r="I693" s="362"/>
    </row>
    <row r="694" spans="1:9" s="370" customFormat="1">
      <c r="A694" s="363"/>
      <c r="B694" s="363"/>
      <c r="C694" s="455"/>
      <c r="D694" s="363"/>
      <c r="I694" s="362"/>
    </row>
    <row r="695" spans="1:9" s="370" customFormat="1">
      <c r="A695" s="363"/>
      <c r="B695" s="363"/>
      <c r="C695" s="455"/>
      <c r="D695" s="363"/>
      <c r="I695" s="362"/>
    </row>
    <row r="696" spans="1:9" s="370" customFormat="1">
      <c r="A696" s="363"/>
      <c r="B696" s="363"/>
      <c r="C696" s="455"/>
      <c r="D696" s="363"/>
      <c r="I696" s="362"/>
    </row>
    <row r="697" spans="1:9" s="370" customFormat="1">
      <c r="A697" s="363"/>
      <c r="B697" s="363"/>
      <c r="C697" s="455"/>
      <c r="D697" s="363"/>
      <c r="I697" s="362"/>
    </row>
    <row r="698" spans="1:9" s="370" customFormat="1">
      <c r="A698" s="363"/>
      <c r="B698" s="363"/>
      <c r="C698" s="455"/>
      <c r="D698" s="363"/>
      <c r="I698" s="362"/>
    </row>
    <row r="699" spans="1:9" s="370" customFormat="1">
      <c r="A699" s="363"/>
      <c r="B699" s="363"/>
      <c r="C699" s="455"/>
      <c r="D699" s="363"/>
      <c r="I699" s="362"/>
    </row>
    <row r="700" spans="1:9" s="370" customFormat="1">
      <c r="A700" s="363"/>
      <c r="B700" s="363"/>
      <c r="C700" s="455"/>
      <c r="D700" s="363"/>
      <c r="I700" s="362"/>
    </row>
    <row r="701" spans="1:9" s="370" customFormat="1">
      <c r="A701" s="363"/>
      <c r="B701" s="363"/>
      <c r="C701" s="455"/>
      <c r="D701" s="363"/>
      <c r="I701" s="362"/>
    </row>
    <row r="702" spans="1:9" s="370" customFormat="1">
      <c r="A702" s="363"/>
      <c r="B702" s="363"/>
      <c r="C702" s="455"/>
      <c r="D702" s="363"/>
      <c r="I702" s="362"/>
    </row>
    <row r="703" spans="1:9" s="370" customFormat="1">
      <c r="A703" s="363"/>
      <c r="B703" s="363"/>
      <c r="C703" s="455"/>
      <c r="D703" s="363"/>
      <c r="I703" s="362"/>
    </row>
    <row r="704" spans="1:9" s="370" customFormat="1">
      <c r="A704" s="363"/>
      <c r="B704" s="363"/>
      <c r="C704" s="455"/>
      <c r="D704" s="363"/>
      <c r="I704" s="362"/>
    </row>
    <row r="705" spans="1:9" s="370" customFormat="1">
      <c r="A705" s="363"/>
      <c r="B705" s="363"/>
      <c r="C705" s="455"/>
      <c r="D705" s="363"/>
      <c r="I705" s="362"/>
    </row>
    <row r="706" spans="1:9" s="370" customFormat="1">
      <c r="A706" s="363"/>
      <c r="B706" s="363"/>
      <c r="C706" s="455"/>
      <c r="D706" s="363"/>
      <c r="I706" s="362"/>
    </row>
    <row r="707" spans="1:9" s="370" customFormat="1">
      <c r="A707" s="363"/>
      <c r="B707" s="363"/>
      <c r="C707" s="455"/>
      <c r="D707" s="363"/>
      <c r="I707" s="362"/>
    </row>
    <row r="708" spans="1:9" s="370" customFormat="1">
      <c r="A708" s="363"/>
      <c r="B708" s="363"/>
      <c r="C708" s="455"/>
      <c r="D708" s="363"/>
      <c r="I708" s="362"/>
    </row>
    <row r="709" spans="1:9" s="370" customFormat="1">
      <c r="A709" s="363"/>
      <c r="B709" s="363"/>
      <c r="C709" s="455"/>
      <c r="D709" s="363"/>
      <c r="I709" s="362"/>
    </row>
    <row r="710" spans="1:9" s="370" customFormat="1">
      <c r="A710" s="363"/>
      <c r="B710" s="363"/>
      <c r="C710" s="455"/>
      <c r="D710" s="363"/>
      <c r="I710" s="362"/>
    </row>
    <row r="711" spans="1:9" s="370" customFormat="1">
      <c r="A711" s="363"/>
      <c r="B711" s="363"/>
      <c r="C711" s="455"/>
      <c r="D711" s="363"/>
      <c r="I711" s="362"/>
    </row>
    <row r="712" spans="1:9" s="370" customFormat="1">
      <c r="A712" s="363"/>
      <c r="B712" s="363"/>
      <c r="C712" s="455"/>
      <c r="D712" s="363"/>
      <c r="I712" s="362"/>
    </row>
    <row r="713" spans="1:9" s="370" customFormat="1">
      <c r="A713" s="363"/>
      <c r="B713" s="363"/>
      <c r="C713" s="455"/>
      <c r="D713" s="363"/>
      <c r="I713" s="362"/>
    </row>
    <row r="714" spans="1:9" s="370" customFormat="1">
      <c r="A714" s="363"/>
      <c r="B714" s="363"/>
      <c r="C714" s="455"/>
      <c r="D714" s="363"/>
      <c r="I714" s="362"/>
    </row>
    <row r="715" spans="1:9" s="370" customFormat="1">
      <c r="A715" s="363"/>
      <c r="B715" s="363"/>
      <c r="C715" s="455"/>
      <c r="D715" s="363"/>
      <c r="I715" s="362"/>
    </row>
    <row r="716" spans="1:9" s="370" customFormat="1">
      <c r="A716" s="363"/>
      <c r="B716" s="363"/>
      <c r="C716" s="455"/>
      <c r="D716" s="363"/>
      <c r="I716" s="362"/>
    </row>
    <row r="717" spans="1:9" s="370" customFormat="1">
      <c r="A717" s="363"/>
      <c r="B717" s="363"/>
      <c r="C717" s="455"/>
      <c r="D717" s="363"/>
      <c r="I717" s="362"/>
    </row>
    <row r="718" spans="1:9" s="370" customFormat="1">
      <c r="A718" s="363"/>
      <c r="B718" s="363"/>
      <c r="C718" s="455"/>
      <c r="D718" s="363"/>
      <c r="I718" s="362"/>
    </row>
    <row r="719" spans="1:9" s="370" customFormat="1">
      <c r="A719" s="363"/>
      <c r="B719" s="363"/>
      <c r="C719" s="455"/>
      <c r="D719" s="363"/>
      <c r="I719" s="362"/>
    </row>
    <row r="720" spans="1:9" s="370" customFormat="1">
      <c r="A720" s="363"/>
      <c r="B720" s="363"/>
      <c r="C720" s="455"/>
      <c r="D720" s="363"/>
      <c r="I720" s="362"/>
    </row>
    <row r="721" spans="1:9" s="370" customFormat="1">
      <c r="A721" s="363"/>
      <c r="B721" s="363"/>
      <c r="C721" s="455"/>
      <c r="D721" s="363"/>
      <c r="I721" s="362"/>
    </row>
    <row r="722" spans="1:9" s="370" customFormat="1">
      <c r="A722" s="363"/>
      <c r="B722" s="363"/>
      <c r="C722" s="455"/>
      <c r="D722" s="363"/>
      <c r="I722" s="362"/>
    </row>
    <row r="723" spans="1:9" s="370" customFormat="1">
      <c r="A723" s="363"/>
      <c r="B723" s="363"/>
      <c r="C723" s="455"/>
      <c r="D723" s="363"/>
      <c r="I723" s="362"/>
    </row>
    <row r="724" spans="1:9" s="370" customFormat="1">
      <c r="A724" s="363"/>
      <c r="B724" s="363"/>
      <c r="C724" s="455"/>
      <c r="D724" s="363"/>
      <c r="I724" s="362"/>
    </row>
    <row r="725" spans="1:9" s="370" customFormat="1">
      <c r="A725" s="363"/>
      <c r="B725" s="363"/>
      <c r="C725" s="455"/>
      <c r="D725" s="363"/>
      <c r="I725" s="362"/>
    </row>
    <row r="726" spans="1:9" s="370" customFormat="1">
      <c r="A726" s="363"/>
      <c r="B726" s="363"/>
      <c r="C726" s="455"/>
      <c r="D726" s="363"/>
      <c r="I726" s="362"/>
    </row>
    <row r="727" spans="1:9" s="370" customFormat="1">
      <c r="A727" s="363"/>
      <c r="B727" s="363"/>
      <c r="C727" s="455"/>
      <c r="D727" s="363"/>
      <c r="I727" s="362"/>
    </row>
    <row r="728" spans="1:9" s="370" customFormat="1">
      <c r="A728" s="363"/>
      <c r="B728" s="363"/>
      <c r="C728" s="455"/>
      <c r="D728" s="363"/>
      <c r="I728" s="362"/>
    </row>
    <row r="729" spans="1:9" s="370" customFormat="1">
      <c r="A729" s="363"/>
      <c r="B729" s="363"/>
      <c r="C729" s="455"/>
      <c r="D729" s="363"/>
      <c r="I729" s="362"/>
    </row>
    <row r="730" spans="1:9" s="370" customFormat="1">
      <c r="A730" s="363"/>
      <c r="B730" s="363"/>
      <c r="C730" s="455"/>
      <c r="D730" s="363"/>
      <c r="I730" s="362"/>
    </row>
    <row r="731" spans="1:9" s="370" customFormat="1">
      <c r="A731" s="363"/>
      <c r="B731" s="363"/>
      <c r="C731" s="455"/>
      <c r="D731" s="363"/>
      <c r="I731" s="362"/>
    </row>
    <row r="732" spans="1:9" s="370" customFormat="1">
      <c r="A732" s="363"/>
      <c r="B732" s="363"/>
      <c r="C732" s="455"/>
      <c r="D732" s="363"/>
      <c r="I732" s="362"/>
    </row>
    <row r="733" spans="1:9" s="370" customFormat="1">
      <c r="A733" s="363"/>
      <c r="B733" s="363"/>
      <c r="C733" s="455"/>
      <c r="D733" s="363"/>
      <c r="I733" s="362"/>
    </row>
    <row r="734" spans="1:9" s="370" customFormat="1">
      <c r="A734" s="363"/>
      <c r="B734" s="363"/>
      <c r="C734" s="455"/>
      <c r="D734" s="363"/>
      <c r="I734" s="362"/>
    </row>
    <row r="735" spans="1:9" s="370" customFormat="1">
      <c r="A735" s="363"/>
      <c r="B735" s="363"/>
      <c r="C735" s="455"/>
      <c r="D735" s="363"/>
      <c r="I735" s="362"/>
    </row>
    <row r="736" spans="1:9" s="370" customFormat="1">
      <c r="A736" s="363"/>
      <c r="B736" s="363"/>
      <c r="C736" s="455"/>
      <c r="D736" s="363"/>
      <c r="I736" s="362"/>
    </row>
    <row r="737" spans="1:9" s="370" customFormat="1">
      <c r="A737" s="363"/>
      <c r="B737" s="363"/>
      <c r="C737" s="455"/>
      <c r="D737" s="363"/>
      <c r="I737" s="362"/>
    </row>
    <row r="738" spans="1:9" s="370" customFormat="1">
      <c r="A738" s="363"/>
      <c r="B738" s="363"/>
      <c r="C738" s="455"/>
      <c r="D738" s="363"/>
      <c r="I738" s="362"/>
    </row>
    <row r="739" spans="1:9" s="370" customFormat="1">
      <c r="A739" s="363"/>
      <c r="B739" s="363"/>
      <c r="C739" s="455"/>
      <c r="D739" s="363"/>
      <c r="I739" s="362"/>
    </row>
    <row r="740" spans="1:9" s="370" customFormat="1">
      <c r="A740" s="363"/>
      <c r="B740" s="363"/>
      <c r="C740" s="455"/>
      <c r="D740" s="363"/>
      <c r="I740" s="362"/>
    </row>
    <row r="741" spans="1:9" s="370" customFormat="1">
      <c r="A741" s="363"/>
      <c r="B741" s="363"/>
      <c r="C741" s="455"/>
      <c r="D741" s="363"/>
      <c r="I741" s="362"/>
    </row>
    <row r="742" spans="1:9" s="370" customFormat="1">
      <c r="A742" s="363"/>
      <c r="B742" s="363"/>
      <c r="C742" s="455"/>
      <c r="D742" s="363"/>
      <c r="I742" s="362"/>
    </row>
    <row r="743" spans="1:9" s="370" customFormat="1">
      <c r="A743" s="363"/>
      <c r="B743" s="363"/>
      <c r="C743" s="455"/>
      <c r="D743" s="363"/>
      <c r="I743" s="362"/>
    </row>
    <row r="744" spans="1:9" s="370" customFormat="1">
      <c r="A744" s="363"/>
      <c r="B744" s="363"/>
      <c r="C744" s="455"/>
      <c r="D744" s="363"/>
      <c r="I744" s="362"/>
    </row>
    <row r="745" spans="1:9" s="370" customFormat="1">
      <c r="A745" s="363"/>
      <c r="B745" s="363"/>
      <c r="C745" s="455"/>
      <c r="D745" s="363"/>
      <c r="I745" s="362"/>
    </row>
    <row r="746" spans="1:9" s="370" customFormat="1">
      <c r="A746" s="363"/>
      <c r="B746" s="363"/>
      <c r="C746" s="455"/>
      <c r="D746" s="363"/>
      <c r="I746" s="362"/>
    </row>
    <row r="747" spans="1:9" s="370" customFormat="1">
      <c r="A747" s="363"/>
      <c r="B747" s="363"/>
      <c r="C747" s="455"/>
      <c r="D747" s="363"/>
      <c r="I747" s="362"/>
    </row>
    <row r="748" spans="1:9" s="370" customFormat="1">
      <c r="A748" s="363"/>
      <c r="B748" s="363"/>
      <c r="C748" s="455"/>
      <c r="D748" s="363"/>
      <c r="I748" s="362"/>
    </row>
    <row r="749" spans="1:9" s="370" customFormat="1">
      <c r="A749" s="363"/>
      <c r="B749" s="363"/>
      <c r="C749" s="455"/>
      <c r="D749" s="363"/>
      <c r="I749" s="362"/>
    </row>
    <row r="750" spans="1:9" s="370" customFormat="1">
      <c r="A750" s="363"/>
      <c r="B750" s="363"/>
      <c r="C750" s="455"/>
      <c r="D750" s="363"/>
      <c r="I750" s="362"/>
    </row>
    <row r="751" spans="1:9" s="370" customFormat="1">
      <c r="A751" s="363"/>
      <c r="B751" s="363"/>
      <c r="C751" s="455"/>
      <c r="D751" s="363"/>
      <c r="I751" s="362"/>
    </row>
    <row r="752" spans="1:9" s="370" customFormat="1">
      <c r="A752" s="363"/>
      <c r="B752" s="363"/>
      <c r="C752" s="455"/>
      <c r="D752" s="363"/>
      <c r="I752" s="362"/>
    </row>
    <row r="753" spans="1:9" s="370" customFormat="1">
      <c r="A753" s="363"/>
      <c r="B753" s="363"/>
      <c r="C753" s="455"/>
      <c r="D753" s="363"/>
      <c r="I753" s="362"/>
    </row>
    <row r="754" spans="1:9" s="370" customFormat="1">
      <c r="A754" s="363"/>
      <c r="B754" s="363"/>
      <c r="C754" s="455"/>
      <c r="D754" s="363"/>
      <c r="I754" s="362"/>
    </row>
    <row r="755" spans="1:9" s="370" customFormat="1">
      <c r="A755" s="363"/>
      <c r="B755" s="363"/>
      <c r="C755" s="455"/>
      <c r="D755" s="363"/>
      <c r="I755" s="362"/>
    </row>
    <row r="756" spans="1:9" s="370" customFormat="1">
      <c r="A756" s="363"/>
      <c r="B756" s="363"/>
      <c r="C756" s="455"/>
      <c r="D756" s="363"/>
      <c r="I756" s="362"/>
    </row>
    <row r="757" spans="1:9" s="370" customFormat="1">
      <c r="A757" s="363"/>
      <c r="B757" s="363"/>
      <c r="C757" s="455"/>
      <c r="D757" s="363"/>
      <c r="I757" s="362"/>
    </row>
    <row r="758" spans="1:9" s="370" customFormat="1">
      <c r="A758" s="363"/>
      <c r="B758" s="363"/>
      <c r="C758" s="455"/>
      <c r="D758" s="363"/>
      <c r="I758" s="362"/>
    </row>
    <row r="759" spans="1:9" s="370" customFormat="1">
      <c r="A759" s="363"/>
      <c r="B759" s="363"/>
      <c r="C759" s="455"/>
      <c r="D759" s="363"/>
      <c r="I759" s="362"/>
    </row>
    <row r="760" spans="1:9" s="370" customFormat="1">
      <c r="A760" s="363"/>
      <c r="B760" s="363"/>
      <c r="C760" s="455"/>
      <c r="D760" s="363"/>
      <c r="I760" s="362"/>
    </row>
    <row r="761" spans="1:9" s="370" customFormat="1">
      <c r="A761" s="363"/>
      <c r="B761" s="363"/>
      <c r="C761" s="455"/>
      <c r="D761" s="363"/>
      <c r="I761" s="362"/>
    </row>
    <row r="762" spans="1:9" s="370" customFormat="1">
      <c r="A762" s="363"/>
      <c r="B762" s="363"/>
      <c r="C762" s="455"/>
      <c r="D762" s="363"/>
      <c r="I762" s="362"/>
    </row>
    <row r="763" spans="1:9" s="370" customFormat="1">
      <c r="A763" s="363"/>
      <c r="B763" s="363"/>
      <c r="C763" s="455"/>
      <c r="D763" s="363"/>
      <c r="I763" s="362"/>
    </row>
    <row r="764" spans="1:9" s="370" customFormat="1">
      <c r="A764" s="363"/>
      <c r="B764" s="363"/>
      <c r="C764" s="455"/>
      <c r="D764" s="363"/>
      <c r="I764" s="362"/>
    </row>
    <row r="765" spans="1:9" s="370" customFormat="1">
      <c r="A765" s="363"/>
      <c r="B765" s="363"/>
      <c r="C765" s="455"/>
      <c r="D765" s="363"/>
      <c r="I765" s="362"/>
    </row>
    <row r="766" spans="1:9" s="370" customFormat="1">
      <c r="A766" s="363"/>
      <c r="B766" s="363"/>
      <c r="C766" s="455"/>
      <c r="D766" s="363"/>
      <c r="I766" s="362"/>
    </row>
    <row r="767" spans="1:9" s="370" customFormat="1">
      <c r="A767" s="363"/>
      <c r="B767" s="363"/>
      <c r="C767" s="455"/>
      <c r="D767" s="363"/>
      <c r="I767" s="362"/>
    </row>
    <row r="768" spans="1:9" s="370" customFormat="1">
      <c r="A768" s="363"/>
      <c r="B768" s="363"/>
      <c r="C768" s="455"/>
      <c r="D768" s="363"/>
      <c r="I768" s="362"/>
    </row>
    <row r="769" spans="1:9" s="370" customFormat="1">
      <c r="A769" s="363"/>
      <c r="B769" s="363"/>
      <c r="C769" s="455"/>
      <c r="D769" s="363"/>
      <c r="I769" s="362"/>
    </row>
    <row r="770" spans="1:9" s="370" customFormat="1">
      <c r="A770" s="363"/>
      <c r="B770" s="363"/>
      <c r="C770" s="455"/>
      <c r="D770" s="363"/>
      <c r="I770" s="362"/>
    </row>
    <row r="771" spans="1:9" s="370" customFormat="1">
      <c r="A771" s="363"/>
      <c r="B771" s="363"/>
      <c r="C771" s="455"/>
      <c r="D771" s="363"/>
      <c r="I771" s="362"/>
    </row>
    <row r="772" spans="1:9" s="370" customFormat="1">
      <c r="A772" s="363"/>
      <c r="B772" s="363"/>
      <c r="C772" s="455"/>
      <c r="D772" s="363"/>
      <c r="I772" s="362"/>
    </row>
    <row r="773" spans="1:9" s="370" customFormat="1">
      <c r="A773" s="363"/>
      <c r="B773" s="363"/>
      <c r="C773" s="455"/>
      <c r="D773" s="363"/>
      <c r="I773" s="362"/>
    </row>
    <row r="774" spans="1:9" s="370" customFormat="1">
      <c r="A774" s="363"/>
      <c r="B774" s="363"/>
      <c r="C774" s="455"/>
      <c r="D774" s="363"/>
      <c r="I774" s="362"/>
    </row>
    <row r="775" spans="1:9" s="370" customFormat="1">
      <c r="A775" s="363"/>
      <c r="B775" s="363"/>
      <c r="C775" s="455"/>
      <c r="D775" s="363"/>
      <c r="I775" s="362"/>
    </row>
    <row r="776" spans="1:9" s="370" customFormat="1">
      <c r="A776" s="363"/>
      <c r="B776" s="363"/>
      <c r="C776" s="455"/>
      <c r="D776" s="363"/>
      <c r="I776" s="362"/>
    </row>
    <row r="777" spans="1:9" s="370" customFormat="1">
      <c r="A777" s="363"/>
      <c r="B777" s="363"/>
      <c r="C777" s="455"/>
      <c r="D777" s="363"/>
      <c r="I777" s="362"/>
    </row>
    <row r="778" spans="1:9" s="370" customFormat="1">
      <c r="A778" s="363"/>
      <c r="B778" s="363"/>
      <c r="C778" s="455"/>
      <c r="D778" s="363"/>
      <c r="I778" s="362"/>
    </row>
    <row r="779" spans="1:9" s="370" customFormat="1">
      <c r="A779" s="363"/>
      <c r="B779" s="363"/>
      <c r="C779" s="455"/>
      <c r="D779" s="363"/>
      <c r="I779" s="362"/>
    </row>
    <row r="780" spans="1:9" s="370" customFormat="1">
      <c r="A780" s="363"/>
      <c r="B780" s="363"/>
      <c r="C780" s="455"/>
      <c r="D780" s="363"/>
      <c r="I780" s="362"/>
    </row>
    <row r="781" spans="1:9" s="370" customFormat="1">
      <c r="A781" s="363"/>
      <c r="B781" s="363"/>
      <c r="C781" s="455"/>
      <c r="D781" s="363"/>
      <c r="I781" s="362"/>
    </row>
    <row r="782" spans="1:9" s="370" customFormat="1">
      <c r="A782" s="363"/>
      <c r="B782" s="363"/>
      <c r="C782" s="455"/>
      <c r="D782" s="363"/>
      <c r="I782" s="362"/>
    </row>
    <row r="783" spans="1:9" s="370" customFormat="1">
      <c r="A783" s="363"/>
      <c r="B783" s="363"/>
      <c r="C783" s="455"/>
      <c r="D783" s="363"/>
      <c r="I783" s="362"/>
    </row>
    <row r="784" spans="1:9" s="370" customFormat="1">
      <c r="A784" s="363"/>
      <c r="B784" s="363"/>
      <c r="C784" s="455"/>
      <c r="D784" s="363"/>
      <c r="I784" s="362"/>
    </row>
    <row r="785" spans="1:9" s="370" customFormat="1">
      <c r="A785" s="363"/>
      <c r="B785" s="363"/>
      <c r="C785" s="455"/>
      <c r="D785" s="363"/>
      <c r="I785" s="362"/>
    </row>
    <row r="786" spans="1:9" s="370" customFormat="1">
      <c r="A786" s="363"/>
      <c r="B786" s="363"/>
      <c r="C786" s="455"/>
      <c r="D786" s="363"/>
      <c r="I786" s="362"/>
    </row>
    <row r="787" spans="1:9" s="370" customFormat="1">
      <c r="A787" s="363"/>
      <c r="B787" s="363"/>
      <c r="C787" s="455"/>
      <c r="D787" s="363"/>
      <c r="I787" s="362"/>
    </row>
    <row r="788" spans="1:9" s="370" customFormat="1">
      <c r="A788" s="363"/>
      <c r="B788" s="363"/>
      <c r="C788" s="455"/>
      <c r="D788" s="363"/>
      <c r="I788" s="362"/>
    </row>
    <row r="789" spans="1:9" s="370" customFormat="1">
      <c r="A789" s="363"/>
      <c r="B789" s="363"/>
      <c r="C789" s="455"/>
      <c r="D789" s="363"/>
      <c r="I789" s="362"/>
    </row>
    <row r="790" spans="1:9" s="370" customFormat="1">
      <c r="A790" s="363"/>
      <c r="B790" s="363"/>
      <c r="C790" s="455"/>
      <c r="D790" s="363"/>
      <c r="I790" s="362"/>
    </row>
    <row r="791" spans="1:9" s="370" customFormat="1">
      <c r="A791" s="363"/>
      <c r="B791" s="363"/>
      <c r="C791" s="455"/>
      <c r="D791" s="363"/>
      <c r="I791" s="362"/>
    </row>
    <row r="792" spans="1:9" s="370" customFormat="1">
      <c r="A792" s="363"/>
      <c r="B792" s="363"/>
      <c r="C792" s="455"/>
      <c r="D792" s="363"/>
      <c r="I792" s="362"/>
    </row>
    <row r="793" spans="1:9" s="370" customFormat="1">
      <c r="A793" s="363"/>
      <c r="B793" s="363"/>
      <c r="C793" s="455"/>
      <c r="D793" s="363"/>
      <c r="I793" s="362"/>
    </row>
    <row r="794" spans="1:9" s="370" customFormat="1">
      <c r="A794" s="363"/>
      <c r="B794" s="363"/>
      <c r="C794" s="455"/>
      <c r="D794" s="363"/>
      <c r="I794" s="362"/>
    </row>
    <row r="795" spans="1:9" s="370" customFormat="1">
      <c r="A795" s="363"/>
      <c r="B795" s="363"/>
      <c r="C795" s="455"/>
      <c r="D795" s="363"/>
      <c r="I795" s="362"/>
    </row>
    <row r="796" spans="1:9" s="370" customFormat="1">
      <c r="A796" s="363"/>
      <c r="B796" s="363"/>
      <c r="C796" s="455"/>
      <c r="D796" s="363"/>
      <c r="I796" s="362"/>
    </row>
    <row r="797" spans="1:9" s="370" customFormat="1">
      <c r="A797" s="363"/>
      <c r="B797" s="363"/>
      <c r="C797" s="455"/>
      <c r="D797" s="363"/>
      <c r="I797" s="362"/>
    </row>
    <row r="798" spans="1:9" s="370" customFormat="1">
      <c r="A798" s="363"/>
      <c r="B798" s="363"/>
      <c r="C798" s="455"/>
      <c r="D798" s="363"/>
      <c r="I798" s="362"/>
    </row>
    <row r="799" spans="1:9" s="370" customFormat="1">
      <c r="A799" s="363"/>
      <c r="B799" s="363"/>
      <c r="C799" s="455"/>
      <c r="D799" s="363"/>
      <c r="I799" s="362"/>
    </row>
    <row r="800" spans="1:9" s="370" customFormat="1">
      <c r="A800" s="363"/>
      <c r="B800" s="363"/>
      <c r="C800" s="455"/>
      <c r="D800" s="363"/>
      <c r="I800" s="362"/>
    </row>
    <row r="801" spans="1:9" s="370" customFormat="1">
      <c r="A801" s="363"/>
      <c r="B801" s="363"/>
      <c r="C801" s="455"/>
      <c r="D801" s="363"/>
      <c r="I801" s="362"/>
    </row>
    <row r="802" spans="1:9" s="370" customFormat="1">
      <c r="A802" s="363"/>
      <c r="B802" s="363"/>
      <c r="C802" s="455"/>
      <c r="D802" s="363"/>
      <c r="I802" s="362"/>
    </row>
    <row r="803" spans="1:9" s="370" customFormat="1">
      <c r="A803" s="363"/>
      <c r="B803" s="363"/>
      <c r="C803" s="455"/>
      <c r="D803" s="363"/>
      <c r="I803" s="362"/>
    </row>
    <row r="804" spans="1:9" s="370" customFormat="1">
      <c r="A804" s="363"/>
      <c r="B804" s="363"/>
      <c r="C804" s="455"/>
      <c r="D804" s="363"/>
      <c r="I804" s="362"/>
    </row>
    <row r="805" spans="1:9" s="370" customFormat="1">
      <c r="A805" s="363"/>
      <c r="B805" s="363"/>
      <c r="C805" s="455"/>
      <c r="D805" s="363"/>
      <c r="I805" s="362"/>
    </row>
    <row r="806" spans="1:9" s="370" customFormat="1">
      <c r="A806" s="363"/>
      <c r="B806" s="363"/>
      <c r="C806" s="455"/>
      <c r="D806" s="363"/>
      <c r="I806" s="362"/>
    </row>
    <row r="807" spans="1:9" s="370" customFormat="1">
      <c r="A807" s="363"/>
      <c r="B807" s="363"/>
      <c r="C807" s="455"/>
      <c r="D807" s="363"/>
      <c r="I807" s="362"/>
    </row>
    <row r="808" spans="1:9" s="370" customFormat="1">
      <c r="A808" s="363"/>
      <c r="B808" s="363"/>
      <c r="C808" s="455"/>
      <c r="D808" s="363"/>
      <c r="I808" s="362"/>
    </row>
    <row r="809" spans="1:9" s="370" customFormat="1">
      <c r="A809" s="363"/>
      <c r="B809" s="363"/>
      <c r="C809" s="455"/>
      <c r="D809" s="363"/>
      <c r="I809" s="362"/>
    </row>
    <row r="810" spans="1:9" s="370" customFormat="1">
      <c r="A810" s="363"/>
      <c r="B810" s="363"/>
      <c r="C810" s="455"/>
      <c r="D810" s="363"/>
      <c r="I810" s="362"/>
    </row>
    <row r="811" spans="1:9" s="370" customFormat="1">
      <c r="A811" s="363"/>
      <c r="B811" s="363"/>
      <c r="C811" s="455"/>
      <c r="D811" s="363"/>
      <c r="I811" s="362"/>
    </row>
    <row r="812" spans="1:9" s="370" customFormat="1">
      <c r="A812" s="363"/>
      <c r="B812" s="363"/>
      <c r="C812" s="455"/>
      <c r="D812" s="363"/>
      <c r="I812" s="362"/>
    </row>
    <row r="813" spans="1:9" s="370" customFormat="1">
      <c r="A813" s="363"/>
      <c r="B813" s="363"/>
      <c r="C813" s="455"/>
      <c r="D813" s="363"/>
      <c r="I813" s="362"/>
    </row>
    <row r="814" spans="1:9" s="370" customFormat="1">
      <c r="A814" s="363"/>
      <c r="B814" s="363"/>
      <c r="C814" s="455"/>
      <c r="D814" s="363"/>
      <c r="I814" s="362"/>
    </row>
    <row r="815" spans="1:9" s="370" customFormat="1">
      <c r="A815" s="363"/>
      <c r="B815" s="363"/>
      <c r="C815" s="455"/>
      <c r="D815" s="363"/>
      <c r="I815" s="362"/>
    </row>
    <row r="816" spans="1:9" s="370" customFormat="1">
      <c r="A816" s="363"/>
      <c r="B816" s="363"/>
      <c r="C816" s="455"/>
      <c r="D816" s="363"/>
      <c r="I816" s="362"/>
    </row>
    <row r="817" spans="1:9" s="370" customFormat="1">
      <c r="A817" s="363"/>
      <c r="B817" s="363"/>
      <c r="C817" s="455"/>
      <c r="D817" s="363"/>
      <c r="I817" s="362"/>
    </row>
    <row r="818" spans="1:9" s="370" customFormat="1">
      <c r="A818" s="363"/>
      <c r="B818" s="363"/>
      <c r="C818" s="455"/>
      <c r="D818" s="363"/>
      <c r="I818" s="362"/>
    </row>
    <row r="819" spans="1:9" s="370" customFormat="1">
      <c r="A819" s="363"/>
      <c r="B819" s="363"/>
      <c r="C819" s="455"/>
      <c r="D819" s="363"/>
      <c r="I819" s="362"/>
    </row>
    <row r="820" spans="1:9" s="370" customFormat="1">
      <c r="A820" s="363"/>
      <c r="B820" s="363"/>
      <c r="C820" s="455"/>
      <c r="D820" s="363"/>
      <c r="I820" s="362"/>
    </row>
    <row r="821" spans="1:9" s="370" customFormat="1">
      <c r="A821" s="363"/>
      <c r="B821" s="363"/>
      <c r="C821" s="455"/>
      <c r="D821" s="363"/>
      <c r="I821" s="362"/>
    </row>
    <row r="822" spans="1:9" s="370" customFormat="1">
      <c r="A822" s="363"/>
      <c r="B822" s="363"/>
      <c r="C822" s="455"/>
      <c r="D822" s="363"/>
      <c r="I822" s="362"/>
    </row>
    <row r="823" spans="1:9" s="370" customFormat="1">
      <c r="A823" s="363"/>
      <c r="B823" s="363"/>
      <c r="C823" s="455"/>
      <c r="D823" s="363"/>
      <c r="I823" s="362"/>
    </row>
    <row r="824" spans="1:9" s="370" customFormat="1">
      <c r="A824" s="363"/>
      <c r="B824" s="363"/>
      <c r="C824" s="455"/>
      <c r="D824" s="363"/>
      <c r="I824" s="362"/>
    </row>
    <row r="825" spans="1:9" s="370" customFormat="1">
      <c r="A825" s="363"/>
      <c r="B825" s="363"/>
      <c r="C825" s="455"/>
      <c r="D825" s="363"/>
      <c r="I825" s="362"/>
    </row>
    <row r="826" spans="1:9" s="370" customFormat="1">
      <c r="A826" s="363"/>
      <c r="B826" s="363"/>
      <c r="C826" s="455"/>
      <c r="D826" s="363"/>
      <c r="I826" s="362"/>
    </row>
    <row r="827" spans="1:9" s="370" customFormat="1">
      <c r="A827" s="363"/>
      <c r="B827" s="363"/>
      <c r="C827" s="455"/>
      <c r="D827" s="363"/>
      <c r="I827" s="362"/>
    </row>
    <row r="828" spans="1:9" s="370" customFormat="1">
      <c r="A828" s="363"/>
      <c r="B828" s="363"/>
      <c r="C828" s="455"/>
      <c r="D828" s="363"/>
      <c r="I828" s="362"/>
    </row>
    <row r="829" spans="1:9" s="370" customFormat="1">
      <c r="A829" s="363"/>
      <c r="B829" s="363"/>
      <c r="C829" s="455"/>
      <c r="D829" s="363"/>
      <c r="I829" s="362"/>
    </row>
    <row r="830" spans="1:9" s="370" customFormat="1">
      <c r="A830" s="363"/>
      <c r="B830" s="363"/>
      <c r="C830" s="455"/>
      <c r="D830" s="363"/>
      <c r="I830" s="362"/>
    </row>
    <row r="831" spans="1:9" s="370" customFormat="1">
      <c r="A831" s="363"/>
      <c r="B831" s="363"/>
      <c r="C831" s="455"/>
      <c r="D831" s="363"/>
      <c r="I831" s="362"/>
    </row>
    <row r="832" spans="1:9" s="370" customFormat="1">
      <c r="A832" s="363"/>
      <c r="B832" s="363"/>
      <c r="C832" s="455"/>
      <c r="D832" s="363"/>
      <c r="I832" s="362"/>
    </row>
    <row r="833" spans="1:9" s="370" customFormat="1">
      <c r="A833" s="363"/>
      <c r="B833" s="363"/>
      <c r="C833" s="455"/>
      <c r="D833" s="363"/>
      <c r="I833" s="362"/>
    </row>
    <row r="834" spans="1:9" s="370" customFormat="1">
      <c r="A834" s="363"/>
      <c r="B834" s="363"/>
      <c r="C834" s="455"/>
      <c r="D834" s="363"/>
      <c r="I834" s="362"/>
    </row>
    <row r="835" spans="1:9" s="370" customFormat="1">
      <c r="A835" s="363"/>
      <c r="B835" s="363"/>
      <c r="C835" s="455"/>
      <c r="D835" s="363"/>
      <c r="I835" s="362"/>
    </row>
    <row r="836" spans="1:9" s="370" customFormat="1">
      <c r="A836" s="363"/>
      <c r="B836" s="363"/>
      <c r="C836" s="455"/>
      <c r="D836" s="363"/>
      <c r="I836" s="362"/>
    </row>
    <row r="837" spans="1:9" s="370" customFormat="1">
      <c r="A837" s="363"/>
      <c r="B837" s="363"/>
      <c r="C837" s="455"/>
      <c r="D837" s="363"/>
      <c r="I837" s="362"/>
    </row>
    <row r="838" spans="1:9" s="370" customFormat="1">
      <c r="A838" s="363"/>
      <c r="B838" s="363"/>
      <c r="C838" s="455"/>
      <c r="D838" s="363"/>
      <c r="I838" s="362"/>
    </row>
    <row r="839" spans="1:9" s="370" customFormat="1">
      <c r="A839" s="363"/>
      <c r="B839" s="363"/>
      <c r="C839" s="455"/>
      <c r="D839" s="363"/>
      <c r="I839" s="362"/>
    </row>
    <row r="840" spans="1:9" s="370" customFormat="1">
      <c r="A840" s="363"/>
      <c r="B840" s="363"/>
      <c r="C840" s="455"/>
      <c r="D840" s="363"/>
      <c r="I840" s="362"/>
    </row>
    <row r="841" spans="1:9" s="370" customFormat="1">
      <c r="A841" s="363"/>
      <c r="B841" s="363"/>
      <c r="C841" s="455"/>
      <c r="D841" s="363"/>
      <c r="I841" s="362"/>
    </row>
    <row r="842" spans="1:9" s="370" customFormat="1">
      <c r="A842" s="363"/>
      <c r="B842" s="363"/>
      <c r="C842" s="455"/>
      <c r="D842" s="363"/>
      <c r="I842" s="362"/>
    </row>
    <row r="843" spans="1:9" s="370" customFormat="1">
      <c r="A843" s="363"/>
      <c r="B843" s="363"/>
      <c r="C843" s="455"/>
      <c r="D843" s="363"/>
      <c r="I843" s="362"/>
    </row>
    <row r="844" spans="1:9" s="370" customFormat="1">
      <c r="A844" s="363"/>
      <c r="B844" s="363"/>
      <c r="C844" s="455"/>
      <c r="D844" s="363"/>
      <c r="I844" s="362"/>
    </row>
    <row r="845" spans="1:9" s="370" customFormat="1">
      <c r="A845" s="363"/>
      <c r="B845" s="363"/>
      <c r="C845" s="455"/>
      <c r="D845" s="363"/>
      <c r="I845" s="362"/>
    </row>
    <row r="846" spans="1:9" s="370" customFormat="1">
      <c r="A846" s="363"/>
      <c r="B846" s="363"/>
      <c r="C846" s="455"/>
      <c r="D846" s="363"/>
      <c r="I846" s="362"/>
    </row>
    <row r="847" spans="1:9" s="370" customFormat="1">
      <c r="A847" s="363"/>
      <c r="B847" s="363"/>
      <c r="C847" s="455"/>
      <c r="D847" s="363"/>
      <c r="I847" s="362"/>
    </row>
    <row r="848" spans="1:9" s="370" customFormat="1">
      <c r="A848" s="363"/>
      <c r="B848" s="363"/>
      <c r="C848" s="455"/>
      <c r="D848" s="363"/>
      <c r="I848" s="362"/>
    </row>
    <row r="849" spans="1:9" s="370" customFormat="1">
      <c r="A849" s="363"/>
      <c r="B849" s="363"/>
      <c r="C849" s="455"/>
      <c r="D849" s="363"/>
      <c r="I849" s="362"/>
    </row>
    <row r="850" spans="1:9" s="370" customFormat="1">
      <c r="A850" s="363"/>
      <c r="B850" s="363"/>
      <c r="C850" s="455"/>
      <c r="D850" s="363"/>
      <c r="I850" s="362"/>
    </row>
    <row r="851" spans="1:9" s="370" customFormat="1">
      <c r="A851" s="363"/>
      <c r="B851" s="363"/>
      <c r="C851" s="455"/>
      <c r="D851" s="363"/>
      <c r="I851" s="362"/>
    </row>
    <row r="852" spans="1:9" s="370" customFormat="1">
      <c r="A852" s="363"/>
      <c r="B852" s="363"/>
      <c r="C852" s="455"/>
      <c r="D852" s="363"/>
      <c r="I852" s="362"/>
    </row>
    <row r="853" spans="1:9" s="370" customFormat="1">
      <c r="A853" s="363"/>
      <c r="B853" s="363"/>
      <c r="C853" s="455"/>
      <c r="D853" s="363"/>
      <c r="I853" s="362"/>
    </row>
    <row r="854" spans="1:9" s="370" customFormat="1">
      <c r="A854" s="363"/>
      <c r="B854" s="363"/>
      <c r="C854" s="455"/>
      <c r="D854" s="363"/>
      <c r="I854" s="362"/>
    </row>
    <row r="855" spans="1:9" s="370" customFormat="1">
      <c r="A855" s="363"/>
      <c r="B855" s="363"/>
      <c r="C855" s="455"/>
      <c r="D855" s="363"/>
      <c r="I855" s="362"/>
    </row>
    <row r="856" spans="1:9" s="370" customFormat="1">
      <c r="A856" s="363"/>
      <c r="B856" s="363"/>
      <c r="C856" s="455"/>
      <c r="D856" s="363"/>
      <c r="I856" s="362"/>
    </row>
    <row r="857" spans="1:9" s="370" customFormat="1">
      <c r="A857" s="363"/>
      <c r="B857" s="363"/>
      <c r="C857" s="455"/>
      <c r="D857" s="363"/>
      <c r="I857" s="362"/>
    </row>
    <row r="858" spans="1:9" s="370" customFormat="1">
      <c r="A858" s="363"/>
      <c r="B858" s="363"/>
      <c r="C858" s="455"/>
      <c r="D858" s="363"/>
      <c r="I858" s="362"/>
    </row>
    <row r="859" spans="1:9" s="370" customFormat="1">
      <c r="A859" s="363"/>
      <c r="B859" s="363"/>
      <c r="C859" s="455"/>
      <c r="D859" s="363"/>
      <c r="I859" s="362"/>
    </row>
    <row r="860" spans="1:9" s="370" customFormat="1">
      <c r="A860" s="363"/>
      <c r="B860" s="363"/>
      <c r="C860" s="455"/>
      <c r="D860" s="363"/>
      <c r="I860" s="362"/>
    </row>
    <row r="861" spans="1:9" s="370" customFormat="1">
      <c r="A861" s="363"/>
      <c r="B861" s="363"/>
      <c r="C861" s="455"/>
      <c r="D861" s="363"/>
      <c r="I861" s="362"/>
    </row>
    <row r="862" spans="1:9" s="370" customFormat="1">
      <c r="A862" s="363"/>
      <c r="B862" s="363"/>
      <c r="C862" s="455"/>
      <c r="D862" s="363"/>
      <c r="I862" s="362"/>
    </row>
    <row r="863" spans="1:9" s="370" customFormat="1">
      <c r="A863" s="363"/>
      <c r="B863" s="363"/>
      <c r="C863" s="455"/>
      <c r="D863" s="363"/>
      <c r="I863" s="362"/>
    </row>
    <row r="864" spans="1:9" s="370" customFormat="1">
      <c r="A864" s="363"/>
      <c r="B864" s="363"/>
      <c r="C864" s="455"/>
      <c r="D864" s="363"/>
      <c r="I864" s="362"/>
    </row>
    <row r="865" spans="1:9" s="370" customFormat="1">
      <c r="A865" s="363"/>
      <c r="B865" s="363"/>
      <c r="C865" s="455"/>
      <c r="D865" s="363"/>
      <c r="I865" s="362"/>
    </row>
    <row r="866" spans="1:9" s="370" customFormat="1">
      <c r="A866" s="363"/>
      <c r="B866" s="363"/>
      <c r="C866" s="455"/>
      <c r="D866" s="363"/>
      <c r="I866" s="362"/>
    </row>
    <row r="867" spans="1:9" s="370" customFormat="1">
      <c r="A867" s="363"/>
      <c r="B867" s="363"/>
      <c r="C867" s="455"/>
      <c r="D867" s="363"/>
      <c r="I867" s="362"/>
    </row>
    <row r="868" spans="1:9" s="370" customFormat="1">
      <c r="A868" s="363"/>
      <c r="B868" s="363"/>
      <c r="C868" s="455"/>
      <c r="D868" s="363"/>
      <c r="I868" s="362"/>
    </row>
    <row r="869" spans="1:9" s="370" customFormat="1">
      <c r="A869" s="363"/>
      <c r="B869" s="363"/>
      <c r="C869" s="455"/>
      <c r="D869" s="363"/>
      <c r="I869" s="362"/>
    </row>
    <row r="870" spans="1:9" s="370" customFormat="1">
      <c r="A870" s="363"/>
      <c r="B870" s="363"/>
      <c r="C870" s="455"/>
      <c r="D870" s="363"/>
      <c r="I870" s="362"/>
    </row>
    <row r="871" spans="1:9" s="370" customFormat="1">
      <c r="A871" s="363"/>
      <c r="B871" s="363"/>
      <c r="C871" s="455"/>
      <c r="D871" s="363"/>
      <c r="I871" s="362"/>
    </row>
    <row r="872" spans="1:9" s="370" customFormat="1">
      <c r="A872" s="363"/>
      <c r="B872" s="363"/>
      <c r="C872" s="455"/>
      <c r="D872" s="363"/>
      <c r="I872" s="362"/>
    </row>
    <row r="873" spans="1:9" s="370" customFormat="1">
      <c r="A873" s="363"/>
      <c r="B873" s="363"/>
      <c r="C873" s="455"/>
      <c r="D873" s="363"/>
      <c r="I873" s="362"/>
    </row>
    <row r="874" spans="1:9" s="370" customFormat="1">
      <c r="A874" s="363"/>
      <c r="B874" s="363"/>
      <c r="C874" s="455"/>
      <c r="D874" s="363"/>
      <c r="I874" s="362"/>
    </row>
    <row r="875" spans="1:9" s="370" customFormat="1">
      <c r="A875" s="363"/>
      <c r="B875" s="363"/>
      <c r="C875" s="455"/>
      <c r="D875" s="363"/>
      <c r="I875" s="362"/>
    </row>
    <row r="876" spans="1:9" s="370" customFormat="1">
      <c r="A876" s="363"/>
      <c r="B876" s="363"/>
      <c r="C876" s="455"/>
      <c r="D876" s="363"/>
      <c r="I876" s="362"/>
    </row>
    <row r="877" spans="1:9" s="370" customFormat="1">
      <c r="A877" s="363"/>
      <c r="B877" s="363"/>
      <c r="C877" s="455"/>
      <c r="D877" s="363"/>
      <c r="I877" s="362"/>
    </row>
    <row r="878" spans="1:9" s="370" customFormat="1">
      <c r="A878" s="363"/>
      <c r="B878" s="363"/>
      <c r="C878" s="455"/>
      <c r="D878" s="363"/>
      <c r="I878" s="362"/>
    </row>
    <row r="879" spans="1:9" s="370" customFormat="1">
      <c r="A879" s="363"/>
      <c r="B879" s="363"/>
      <c r="C879" s="455"/>
      <c r="D879" s="363"/>
      <c r="I879" s="362"/>
    </row>
    <row r="880" spans="1:9" s="370" customFormat="1">
      <c r="A880" s="363"/>
      <c r="B880" s="363"/>
      <c r="C880" s="455"/>
      <c r="D880" s="363"/>
      <c r="I880" s="362"/>
    </row>
    <row r="881" spans="1:9" s="370" customFormat="1">
      <c r="A881" s="363"/>
      <c r="B881" s="363"/>
      <c r="C881" s="455"/>
      <c r="D881" s="363"/>
      <c r="I881" s="362"/>
    </row>
    <row r="882" spans="1:9" s="370" customFormat="1">
      <c r="A882" s="363"/>
      <c r="B882" s="363"/>
      <c r="C882" s="455"/>
      <c r="D882" s="363"/>
      <c r="I882" s="362"/>
    </row>
    <row r="883" spans="1:9" s="370" customFormat="1">
      <c r="A883" s="363"/>
      <c r="B883" s="363"/>
      <c r="C883" s="455"/>
      <c r="D883" s="363"/>
      <c r="I883" s="362"/>
    </row>
    <row r="884" spans="1:9" s="370" customFormat="1">
      <c r="A884" s="363"/>
      <c r="B884" s="363"/>
      <c r="C884" s="455"/>
      <c r="D884" s="363"/>
      <c r="I884" s="362"/>
    </row>
    <row r="885" spans="1:9" s="370" customFormat="1">
      <c r="A885" s="363"/>
      <c r="B885" s="363"/>
      <c r="C885" s="455"/>
      <c r="D885" s="363"/>
      <c r="I885" s="362"/>
    </row>
    <row r="886" spans="1:9" s="370" customFormat="1">
      <c r="A886" s="363"/>
      <c r="B886" s="363"/>
      <c r="C886" s="455"/>
      <c r="D886" s="363"/>
      <c r="I886" s="362"/>
    </row>
    <row r="887" spans="1:9" s="370" customFormat="1">
      <c r="A887" s="363"/>
      <c r="B887" s="363"/>
      <c r="C887" s="455"/>
      <c r="D887" s="363"/>
      <c r="I887" s="362"/>
    </row>
    <row r="888" spans="1:9" s="370" customFormat="1">
      <c r="A888" s="363"/>
      <c r="B888" s="363"/>
      <c r="C888" s="455"/>
      <c r="D888" s="363"/>
      <c r="I888" s="362"/>
    </row>
    <row r="889" spans="1:9" s="370" customFormat="1">
      <c r="A889" s="363"/>
      <c r="B889" s="363"/>
      <c r="C889" s="455"/>
      <c r="D889" s="363"/>
      <c r="I889" s="362"/>
    </row>
    <row r="890" spans="1:9" s="370" customFormat="1">
      <c r="A890" s="363"/>
      <c r="B890" s="363"/>
      <c r="C890" s="455"/>
      <c r="D890" s="363"/>
      <c r="I890" s="362"/>
    </row>
    <row r="891" spans="1:9" s="370" customFormat="1">
      <c r="A891" s="363"/>
      <c r="B891" s="363"/>
      <c r="C891" s="455"/>
      <c r="D891" s="363"/>
      <c r="I891" s="362"/>
    </row>
    <row r="892" spans="1:9" s="370" customFormat="1">
      <c r="A892" s="363"/>
      <c r="B892" s="363"/>
      <c r="C892" s="455"/>
      <c r="D892" s="363"/>
      <c r="I892" s="362"/>
    </row>
    <row r="893" spans="1:9" s="370" customFormat="1">
      <c r="A893" s="363"/>
      <c r="B893" s="363"/>
      <c r="C893" s="455"/>
      <c r="D893" s="363"/>
      <c r="I893" s="362"/>
    </row>
    <row r="894" spans="1:9" s="370" customFormat="1">
      <c r="A894" s="363"/>
      <c r="B894" s="363"/>
      <c r="C894" s="455"/>
      <c r="D894" s="363"/>
      <c r="I894" s="362"/>
    </row>
    <row r="895" spans="1:9" s="370" customFormat="1">
      <c r="A895" s="363"/>
      <c r="B895" s="363"/>
      <c r="C895" s="455"/>
      <c r="D895" s="363"/>
      <c r="I895" s="362"/>
    </row>
    <row r="896" spans="1:9" s="370" customFormat="1">
      <c r="A896" s="363"/>
      <c r="B896" s="363"/>
      <c r="C896" s="455"/>
      <c r="D896" s="363"/>
      <c r="I896" s="362"/>
    </row>
    <row r="897" spans="1:9" s="370" customFormat="1">
      <c r="A897" s="363"/>
      <c r="B897" s="363"/>
      <c r="C897" s="455"/>
      <c r="D897" s="363"/>
      <c r="I897" s="362"/>
    </row>
    <row r="898" spans="1:9" s="370" customFormat="1">
      <c r="A898" s="363"/>
      <c r="B898" s="363"/>
      <c r="C898" s="455"/>
      <c r="D898" s="363"/>
      <c r="I898" s="362"/>
    </row>
    <row r="899" spans="1:9" s="370" customFormat="1">
      <c r="A899" s="363"/>
      <c r="B899" s="363"/>
      <c r="C899" s="455"/>
      <c r="D899" s="363"/>
      <c r="I899" s="362"/>
    </row>
    <row r="900" spans="1:9" s="370" customFormat="1">
      <c r="A900" s="363"/>
      <c r="B900" s="363"/>
      <c r="C900" s="455"/>
      <c r="D900" s="363"/>
      <c r="I900" s="362"/>
    </row>
    <row r="901" spans="1:9" s="370" customFormat="1">
      <c r="A901" s="363"/>
      <c r="B901" s="363"/>
      <c r="C901" s="455"/>
      <c r="D901" s="363"/>
      <c r="I901" s="362"/>
    </row>
    <row r="902" spans="1:9" s="370" customFormat="1">
      <c r="A902" s="363"/>
      <c r="B902" s="363"/>
      <c r="C902" s="455"/>
      <c r="D902" s="363"/>
      <c r="I902" s="362"/>
    </row>
    <row r="903" spans="1:9" s="370" customFormat="1">
      <c r="A903" s="363"/>
      <c r="B903" s="363"/>
      <c r="C903" s="455"/>
      <c r="D903" s="363"/>
      <c r="I903" s="362"/>
    </row>
    <row r="904" spans="1:9" s="370" customFormat="1">
      <c r="A904" s="363"/>
      <c r="B904" s="363"/>
      <c r="C904" s="455"/>
      <c r="D904" s="363"/>
      <c r="I904" s="362"/>
    </row>
    <row r="905" spans="1:9" s="370" customFormat="1">
      <c r="A905" s="363"/>
      <c r="B905" s="363"/>
      <c r="C905" s="455"/>
      <c r="D905" s="363"/>
      <c r="I905" s="362"/>
    </row>
    <row r="906" spans="1:9" s="370" customFormat="1">
      <c r="A906" s="363"/>
      <c r="B906" s="363"/>
      <c r="C906" s="455"/>
      <c r="D906" s="363"/>
      <c r="I906" s="362"/>
    </row>
    <row r="907" spans="1:9" s="370" customFormat="1">
      <c r="A907" s="363"/>
      <c r="B907" s="363"/>
      <c r="C907" s="455"/>
      <c r="D907" s="363"/>
      <c r="I907" s="362"/>
    </row>
    <row r="908" spans="1:9" s="370" customFormat="1">
      <c r="A908" s="363"/>
      <c r="B908" s="363"/>
      <c r="C908" s="455"/>
      <c r="D908" s="363"/>
      <c r="I908" s="362"/>
    </row>
    <row r="909" spans="1:9" s="370" customFormat="1">
      <c r="A909" s="363"/>
      <c r="B909" s="363"/>
      <c r="C909" s="455"/>
      <c r="D909" s="363"/>
      <c r="I909" s="362"/>
    </row>
    <row r="910" spans="1:9" s="370" customFormat="1">
      <c r="A910" s="363"/>
      <c r="B910" s="363"/>
      <c r="C910" s="455"/>
      <c r="D910" s="363"/>
      <c r="I910" s="362"/>
    </row>
    <row r="911" spans="1:9" s="370" customFormat="1">
      <c r="A911" s="363"/>
      <c r="B911" s="363"/>
      <c r="C911" s="455"/>
      <c r="D911" s="363"/>
      <c r="I911" s="362"/>
    </row>
    <row r="912" spans="1:9" s="370" customFormat="1">
      <c r="A912" s="363"/>
      <c r="B912" s="363"/>
      <c r="C912" s="455"/>
      <c r="D912" s="363"/>
      <c r="I912" s="362"/>
    </row>
    <row r="913" spans="1:9" s="370" customFormat="1">
      <c r="A913" s="363"/>
      <c r="B913" s="363"/>
      <c r="C913" s="455"/>
      <c r="D913" s="363"/>
      <c r="I913" s="362"/>
    </row>
    <row r="914" spans="1:9" s="370" customFormat="1">
      <c r="A914" s="363"/>
      <c r="B914" s="363"/>
      <c r="C914" s="455"/>
      <c r="D914" s="363"/>
      <c r="I914" s="362"/>
    </row>
    <row r="915" spans="1:9" s="370" customFormat="1">
      <c r="A915" s="363"/>
      <c r="B915" s="363"/>
      <c r="C915" s="455"/>
      <c r="D915" s="363"/>
      <c r="I915" s="362"/>
    </row>
    <row r="916" spans="1:9" s="370" customFormat="1">
      <c r="A916" s="363"/>
      <c r="B916" s="363"/>
      <c r="C916" s="455"/>
      <c r="D916" s="363"/>
      <c r="I916" s="362"/>
    </row>
    <row r="917" spans="1:9" s="370" customFormat="1">
      <c r="A917" s="363"/>
      <c r="B917" s="363"/>
      <c r="C917" s="455"/>
      <c r="D917" s="363"/>
      <c r="I917" s="362"/>
    </row>
    <row r="918" spans="1:9" s="370" customFormat="1">
      <c r="A918" s="363"/>
      <c r="B918" s="363"/>
      <c r="C918" s="455"/>
      <c r="D918" s="363"/>
      <c r="I918" s="362"/>
    </row>
    <row r="919" spans="1:9" s="370" customFormat="1">
      <c r="A919" s="363"/>
      <c r="B919" s="363"/>
      <c r="C919" s="455"/>
      <c r="D919" s="363"/>
      <c r="I919" s="362"/>
    </row>
    <row r="920" spans="1:9" s="370" customFormat="1">
      <c r="A920" s="363"/>
      <c r="B920" s="363"/>
      <c r="C920" s="455"/>
      <c r="D920" s="363"/>
      <c r="I920" s="362"/>
    </row>
    <row r="921" spans="1:9" s="370" customFormat="1">
      <c r="A921" s="363"/>
      <c r="B921" s="363"/>
      <c r="C921" s="455"/>
      <c r="D921" s="363"/>
      <c r="I921" s="362"/>
    </row>
    <row r="922" spans="1:9" s="370" customFormat="1">
      <c r="A922" s="363"/>
      <c r="B922" s="363"/>
      <c r="C922" s="455"/>
      <c r="D922" s="363"/>
      <c r="I922" s="362"/>
    </row>
    <row r="923" spans="1:9" s="370" customFormat="1">
      <c r="A923" s="363"/>
      <c r="B923" s="363"/>
      <c r="C923" s="455"/>
      <c r="D923" s="363"/>
      <c r="I923" s="362"/>
    </row>
    <row r="924" spans="1:9" s="370" customFormat="1">
      <c r="A924" s="363"/>
      <c r="B924" s="363"/>
      <c r="C924" s="455"/>
      <c r="D924" s="363"/>
      <c r="I924" s="362"/>
    </row>
    <row r="925" spans="1:9" s="370" customFormat="1">
      <c r="A925" s="363"/>
      <c r="B925" s="363"/>
      <c r="C925" s="455"/>
      <c r="D925" s="363"/>
      <c r="I925" s="362"/>
    </row>
    <row r="926" spans="1:9" s="370" customFormat="1">
      <c r="A926" s="363"/>
      <c r="B926" s="363"/>
      <c r="C926" s="455"/>
      <c r="D926" s="363"/>
      <c r="I926" s="362"/>
    </row>
    <row r="927" spans="1:9" s="370" customFormat="1">
      <c r="A927" s="363"/>
      <c r="B927" s="363"/>
      <c r="C927" s="455"/>
      <c r="D927" s="363"/>
      <c r="I927" s="362"/>
    </row>
    <row r="928" spans="1:9" s="370" customFormat="1">
      <c r="A928" s="363"/>
      <c r="B928" s="363"/>
      <c r="C928" s="455"/>
      <c r="D928" s="363"/>
      <c r="I928" s="362"/>
    </row>
    <row r="929" spans="1:9" s="370" customFormat="1">
      <c r="A929" s="363"/>
      <c r="B929" s="363"/>
      <c r="C929" s="455"/>
      <c r="D929" s="363"/>
      <c r="I929" s="362"/>
    </row>
    <row r="930" spans="1:9" s="370" customFormat="1">
      <c r="A930" s="363"/>
      <c r="B930" s="363"/>
      <c r="C930" s="455"/>
      <c r="D930" s="363"/>
      <c r="I930" s="362"/>
    </row>
    <row r="931" spans="1:9" s="370" customFormat="1">
      <c r="A931" s="363"/>
      <c r="B931" s="363"/>
      <c r="C931" s="455"/>
      <c r="D931" s="363"/>
      <c r="I931" s="362"/>
    </row>
    <row r="932" spans="1:9" s="370" customFormat="1">
      <c r="A932" s="363"/>
      <c r="B932" s="363"/>
      <c r="C932" s="455"/>
      <c r="D932" s="363"/>
      <c r="I932" s="362"/>
    </row>
    <row r="933" spans="1:9" s="370" customFormat="1">
      <c r="A933" s="363"/>
      <c r="B933" s="363"/>
      <c r="C933" s="455"/>
      <c r="D933" s="363"/>
      <c r="I933" s="362"/>
    </row>
    <row r="934" spans="1:9" s="370" customFormat="1">
      <c r="A934" s="363"/>
      <c r="B934" s="363"/>
      <c r="C934" s="455"/>
      <c r="D934" s="363"/>
      <c r="I934" s="362"/>
    </row>
    <row r="935" spans="1:9" s="370" customFormat="1">
      <c r="A935" s="363"/>
      <c r="B935" s="363"/>
      <c r="C935" s="455"/>
      <c r="D935" s="363"/>
      <c r="I935" s="362"/>
    </row>
    <row r="936" spans="1:9" s="370" customFormat="1">
      <c r="A936" s="363"/>
      <c r="B936" s="363"/>
      <c r="C936" s="455"/>
      <c r="D936" s="363"/>
      <c r="I936" s="362"/>
    </row>
    <row r="937" spans="1:9" s="370" customFormat="1">
      <c r="A937" s="363"/>
      <c r="B937" s="363"/>
      <c r="C937" s="455"/>
      <c r="D937" s="363"/>
      <c r="I937" s="362"/>
    </row>
    <row r="938" spans="1:9" s="370" customFormat="1">
      <c r="A938" s="363"/>
      <c r="B938" s="363"/>
      <c r="C938" s="455"/>
      <c r="D938" s="363"/>
      <c r="I938" s="362"/>
    </row>
    <row r="939" spans="1:9" s="370" customFormat="1">
      <c r="A939" s="363"/>
      <c r="B939" s="363"/>
      <c r="C939" s="455"/>
      <c r="D939" s="363"/>
      <c r="I939" s="362"/>
    </row>
    <row r="940" spans="1:9" s="370" customFormat="1">
      <c r="A940" s="363"/>
      <c r="B940" s="363"/>
      <c r="C940" s="455"/>
      <c r="D940" s="363"/>
      <c r="I940" s="362"/>
    </row>
    <row r="941" spans="1:9" s="370" customFormat="1">
      <c r="A941" s="363"/>
      <c r="B941" s="363"/>
      <c r="C941" s="455"/>
      <c r="D941" s="363"/>
      <c r="I941" s="362"/>
    </row>
    <row r="942" spans="1:9" s="370" customFormat="1">
      <c r="A942" s="363"/>
      <c r="B942" s="363"/>
      <c r="C942" s="455"/>
      <c r="D942" s="363"/>
      <c r="I942" s="362"/>
    </row>
    <row r="943" spans="1:9" s="370" customFormat="1">
      <c r="A943" s="363"/>
      <c r="B943" s="363"/>
      <c r="C943" s="455"/>
      <c r="D943" s="363"/>
      <c r="I943" s="362"/>
    </row>
    <row r="944" spans="1:9" s="370" customFormat="1">
      <c r="A944" s="363"/>
      <c r="B944" s="363"/>
      <c r="C944" s="455"/>
      <c r="D944" s="363"/>
      <c r="I944" s="362"/>
    </row>
    <row r="945" spans="1:9" s="370" customFormat="1">
      <c r="A945" s="363"/>
      <c r="B945" s="363"/>
      <c r="C945" s="455"/>
      <c r="D945" s="363"/>
      <c r="I945" s="362"/>
    </row>
    <row r="946" spans="1:9" s="370" customFormat="1">
      <c r="A946" s="363"/>
      <c r="B946" s="363"/>
      <c r="C946" s="455"/>
      <c r="D946" s="363"/>
      <c r="I946" s="362"/>
    </row>
    <row r="947" spans="1:9" s="370" customFormat="1">
      <c r="A947" s="363"/>
      <c r="B947" s="363"/>
      <c r="C947" s="455"/>
      <c r="D947" s="363"/>
      <c r="I947" s="362"/>
    </row>
    <row r="948" spans="1:9" s="370" customFormat="1">
      <c r="A948" s="363"/>
      <c r="B948" s="363"/>
      <c r="C948" s="455"/>
      <c r="D948" s="363"/>
      <c r="I948" s="362"/>
    </row>
    <row r="949" spans="1:9" s="370" customFormat="1">
      <c r="A949" s="363"/>
      <c r="B949" s="363"/>
      <c r="C949" s="455"/>
      <c r="D949" s="363"/>
      <c r="I949" s="362"/>
    </row>
    <row r="950" spans="1:9" s="370" customFormat="1">
      <c r="A950" s="363"/>
      <c r="B950" s="363"/>
      <c r="C950" s="455"/>
      <c r="D950" s="363"/>
      <c r="I950" s="362"/>
    </row>
    <row r="951" spans="1:9" s="370" customFormat="1">
      <c r="A951" s="363"/>
      <c r="B951" s="363"/>
      <c r="C951" s="455"/>
      <c r="D951" s="363"/>
      <c r="I951" s="362"/>
    </row>
    <row r="952" spans="1:9" s="370" customFormat="1">
      <c r="A952" s="363"/>
      <c r="B952" s="363"/>
      <c r="C952" s="455"/>
      <c r="D952" s="363"/>
      <c r="I952" s="362"/>
    </row>
    <row r="953" spans="1:9" s="370" customFormat="1">
      <c r="A953" s="363"/>
      <c r="B953" s="363"/>
      <c r="C953" s="455"/>
      <c r="D953" s="363"/>
      <c r="I953" s="362"/>
    </row>
    <row r="954" spans="1:9" s="370" customFormat="1">
      <c r="A954" s="363"/>
      <c r="B954" s="363"/>
      <c r="C954" s="455"/>
      <c r="D954" s="363"/>
      <c r="I954" s="362"/>
    </row>
    <row r="955" spans="1:9" s="370" customFormat="1">
      <c r="A955" s="363"/>
      <c r="B955" s="363"/>
      <c r="C955" s="455"/>
      <c r="D955" s="363"/>
      <c r="I955" s="362"/>
    </row>
    <row r="956" spans="1:9" s="370" customFormat="1">
      <c r="A956" s="363"/>
      <c r="B956" s="363"/>
      <c r="C956" s="455"/>
      <c r="D956" s="363"/>
      <c r="I956" s="362"/>
    </row>
    <row r="957" spans="1:9" s="370" customFormat="1">
      <c r="A957" s="363"/>
      <c r="B957" s="363"/>
      <c r="C957" s="455"/>
      <c r="D957" s="363"/>
      <c r="I957" s="362"/>
    </row>
    <row r="958" spans="1:9" s="370" customFormat="1">
      <c r="A958" s="363"/>
      <c r="B958" s="363"/>
      <c r="C958" s="455"/>
      <c r="D958" s="363"/>
      <c r="I958" s="362"/>
    </row>
    <row r="959" spans="1:9" s="370" customFormat="1">
      <c r="A959" s="363"/>
      <c r="B959" s="363"/>
      <c r="C959" s="455"/>
      <c r="D959" s="363"/>
      <c r="I959" s="362"/>
    </row>
    <row r="960" spans="1:9" s="370" customFormat="1">
      <c r="A960" s="363"/>
      <c r="B960" s="363"/>
      <c r="C960" s="455"/>
      <c r="D960" s="363"/>
      <c r="I960" s="362"/>
    </row>
    <row r="961" spans="1:9" s="370" customFormat="1">
      <c r="A961" s="363"/>
      <c r="B961" s="363"/>
      <c r="C961" s="455"/>
      <c r="D961" s="363"/>
      <c r="I961" s="362"/>
    </row>
    <row r="962" spans="1:9" s="370" customFormat="1">
      <c r="A962" s="363"/>
      <c r="B962" s="363"/>
      <c r="C962" s="455"/>
      <c r="D962" s="363"/>
      <c r="I962" s="362"/>
    </row>
    <row r="963" spans="1:9" s="370" customFormat="1">
      <c r="A963" s="363"/>
      <c r="B963" s="363"/>
      <c r="C963" s="455"/>
      <c r="D963" s="363"/>
      <c r="I963" s="362"/>
    </row>
    <row r="964" spans="1:9" s="370" customFormat="1">
      <c r="A964" s="363"/>
      <c r="B964" s="363"/>
      <c r="C964" s="455"/>
      <c r="D964" s="363"/>
      <c r="I964" s="362"/>
    </row>
    <row r="965" spans="1:9" s="370" customFormat="1">
      <c r="A965" s="363"/>
      <c r="B965" s="363"/>
      <c r="C965" s="455"/>
      <c r="D965" s="363"/>
      <c r="I965" s="362"/>
    </row>
    <row r="966" spans="1:9" s="370" customFormat="1">
      <c r="A966" s="363"/>
      <c r="B966" s="363"/>
      <c r="C966" s="455"/>
      <c r="D966" s="363"/>
      <c r="I966" s="362"/>
    </row>
    <row r="967" spans="1:9" s="370" customFormat="1">
      <c r="A967" s="363"/>
      <c r="B967" s="363"/>
      <c r="C967" s="455"/>
      <c r="D967" s="363"/>
      <c r="I967" s="362"/>
    </row>
    <row r="968" spans="1:9" s="370" customFormat="1">
      <c r="A968" s="363"/>
      <c r="B968" s="363"/>
      <c r="C968" s="455"/>
      <c r="D968" s="363"/>
      <c r="I968" s="362"/>
    </row>
    <row r="969" spans="1:9" s="370" customFormat="1">
      <c r="A969" s="363"/>
      <c r="B969" s="363"/>
      <c r="C969" s="455"/>
      <c r="D969" s="363"/>
      <c r="I969" s="362"/>
    </row>
    <row r="970" spans="1:9" s="370" customFormat="1">
      <c r="A970" s="363"/>
      <c r="B970" s="363"/>
      <c r="C970" s="455"/>
      <c r="D970" s="363"/>
      <c r="I970" s="362"/>
    </row>
    <row r="971" spans="1:9" s="370" customFormat="1">
      <c r="A971" s="363"/>
      <c r="B971" s="363"/>
      <c r="C971" s="455"/>
      <c r="D971" s="363"/>
      <c r="I971" s="362"/>
    </row>
    <row r="972" spans="1:9" s="370" customFormat="1">
      <c r="A972" s="363"/>
      <c r="B972" s="363"/>
      <c r="C972" s="455"/>
      <c r="D972" s="363"/>
      <c r="I972" s="362"/>
    </row>
    <row r="973" spans="1:9" s="370" customFormat="1">
      <c r="A973" s="363"/>
      <c r="B973" s="363"/>
      <c r="C973" s="455"/>
      <c r="D973" s="363"/>
      <c r="I973" s="362"/>
    </row>
    <row r="974" spans="1:9" s="370" customFormat="1">
      <c r="A974" s="363"/>
      <c r="B974" s="363"/>
      <c r="C974" s="455"/>
      <c r="D974" s="363"/>
      <c r="I974" s="362"/>
    </row>
    <row r="975" spans="1:9" s="370" customFormat="1">
      <c r="A975" s="363"/>
      <c r="B975" s="363"/>
      <c r="C975" s="455"/>
      <c r="D975" s="363"/>
      <c r="I975" s="362"/>
    </row>
    <row r="976" spans="1:9" s="370" customFormat="1">
      <c r="A976" s="363"/>
      <c r="B976" s="363"/>
      <c r="C976" s="455"/>
      <c r="D976" s="363"/>
      <c r="I976" s="362"/>
    </row>
    <row r="977" spans="1:9" s="370" customFormat="1">
      <c r="A977" s="363"/>
      <c r="B977" s="363"/>
      <c r="C977" s="455"/>
      <c r="D977" s="363"/>
      <c r="I977" s="362"/>
    </row>
    <row r="978" spans="1:9" s="370" customFormat="1">
      <c r="A978" s="363"/>
      <c r="B978" s="363"/>
      <c r="C978" s="455"/>
      <c r="D978" s="363"/>
      <c r="I978" s="362"/>
    </row>
    <row r="979" spans="1:9" s="370" customFormat="1">
      <c r="A979" s="363"/>
      <c r="B979" s="363"/>
      <c r="C979" s="455"/>
      <c r="D979" s="363"/>
      <c r="I979" s="362"/>
    </row>
    <row r="980" spans="1:9" s="370" customFormat="1">
      <c r="A980" s="363"/>
      <c r="B980" s="363"/>
      <c r="C980" s="455"/>
      <c r="D980" s="363"/>
      <c r="I980" s="362"/>
    </row>
    <row r="981" spans="1:9" s="370" customFormat="1">
      <c r="A981" s="363"/>
      <c r="B981" s="363"/>
      <c r="C981" s="455"/>
      <c r="D981" s="363"/>
      <c r="I981" s="362"/>
    </row>
    <row r="982" spans="1:9" s="370" customFormat="1">
      <c r="A982" s="363"/>
      <c r="B982" s="363"/>
      <c r="C982" s="455"/>
      <c r="D982" s="363"/>
      <c r="I982" s="362"/>
    </row>
    <row r="983" spans="1:9" s="370" customFormat="1">
      <c r="A983" s="363"/>
      <c r="B983" s="363"/>
      <c r="C983" s="455"/>
      <c r="D983" s="363"/>
      <c r="I983" s="362"/>
    </row>
    <row r="984" spans="1:9" s="370" customFormat="1">
      <c r="A984" s="363"/>
      <c r="B984" s="363"/>
      <c r="C984" s="455"/>
      <c r="D984" s="363"/>
      <c r="I984" s="362"/>
    </row>
    <row r="985" spans="1:9" s="370" customFormat="1">
      <c r="A985" s="363"/>
      <c r="B985" s="363"/>
      <c r="C985" s="455"/>
      <c r="D985" s="363"/>
      <c r="I985" s="362"/>
    </row>
    <row r="986" spans="1:9" s="370" customFormat="1">
      <c r="A986" s="363"/>
      <c r="B986" s="363"/>
      <c r="C986" s="455"/>
      <c r="D986" s="363"/>
      <c r="I986" s="362"/>
    </row>
    <row r="987" spans="1:9" s="370" customFormat="1">
      <c r="A987" s="363"/>
      <c r="B987" s="363"/>
      <c r="C987" s="455"/>
      <c r="D987" s="363"/>
      <c r="I987" s="362"/>
    </row>
    <row r="988" spans="1:9" s="370" customFormat="1">
      <c r="A988" s="363"/>
      <c r="B988" s="363"/>
      <c r="C988" s="455"/>
      <c r="D988" s="363"/>
      <c r="I988" s="362"/>
    </row>
    <row r="989" spans="1:9" s="370" customFormat="1">
      <c r="A989" s="363"/>
      <c r="B989" s="363"/>
      <c r="C989" s="455"/>
      <c r="D989" s="363"/>
      <c r="I989" s="362"/>
    </row>
    <row r="990" spans="1:9" s="370" customFormat="1">
      <c r="A990" s="363"/>
      <c r="B990" s="363"/>
      <c r="C990" s="455"/>
      <c r="D990" s="363"/>
      <c r="I990" s="362"/>
    </row>
    <row r="991" spans="1:9" s="370" customFormat="1">
      <c r="A991" s="363"/>
      <c r="B991" s="363"/>
      <c r="C991" s="455"/>
      <c r="D991" s="363"/>
      <c r="I991" s="362"/>
    </row>
    <row r="992" spans="1:9" s="370" customFormat="1">
      <c r="A992" s="363"/>
      <c r="B992" s="363"/>
      <c r="C992" s="455"/>
      <c r="D992" s="363"/>
      <c r="I992" s="362"/>
    </row>
    <row r="993" spans="1:9" s="370" customFormat="1">
      <c r="A993" s="363"/>
      <c r="B993" s="363"/>
      <c r="C993" s="455"/>
      <c r="D993" s="363"/>
      <c r="I993" s="362"/>
    </row>
    <row r="994" spans="1:9" s="370" customFormat="1">
      <c r="A994" s="363"/>
      <c r="B994" s="363"/>
      <c r="C994" s="455"/>
      <c r="D994" s="363"/>
      <c r="I994" s="362"/>
    </row>
    <row r="995" spans="1:9" s="370" customFormat="1">
      <c r="A995" s="363"/>
      <c r="B995" s="363"/>
      <c r="C995" s="455"/>
      <c r="D995" s="363"/>
      <c r="I995" s="362"/>
    </row>
    <row r="996" spans="1:9" s="370" customFormat="1">
      <c r="A996" s="363"/>
      <c r="B996" s="363"/>
      <c r="C996" s="455"/>
      <c r="D996" s="363"/>
      <c r="I996" s="362"/>
    </row>
    <row r="997" spans="1:9" s="370" customFormat="1">
      <c r="A997" s="363"/>
      <c r="B997" s="363"/>
      <c r="C997" s="455"/>
      <c r="D997" s="363"/>
      <c r="I997" s="362"/>
    </row>
    <row r="998" spans="1:9" s="370" customFormat="1">
      <c r="A998" s="363"/>
      <c r="B998" s="363"/>
      <c r="C998" s="455"/>
      <c r="D998" s="363"/>
      <c r="I998" s="362"/>
    </row>
    <row r="999" spans="1:9" s="370" customFormat="1">
      <c r="A999" s="363"/>
      <c r="B999" s="363"/>
      <c r="C999" s="455"/>
      <c r="D999" s="363"/>
      <c r="I999" s="362"/>
    </row>
    <row r="1000" spans="1:9" s="370" customFormat="1">
      <c r="A1000" s="363"/>
      <c r="B1000" s="363"/>
      <c r="C1000" s="455"/>
      <c r="D1000" s="363"/>
      <c r="I1000" s="362"/>
    </row>
    <row r="1001" spans="1:9" s="370" customFormat="1">
      <c r="A1001" s="363"/>
      <c r="B1001" s="363"/>
      <c r="C1001" s="455"/>
      <c r="D1001" s="363"/>
      <c r="I1001" s="362"/>
    </row>
    <row r="1002" spans="1:9" s="370" customFormat="1">
      <c r="A1002" s="363"/>
      <c r="B1002" s="363"/>
      <c r="C1002" s="455"/>
      <c r="D1002" s="363"/>
      <c r="I1002" s="362"/>
    </row>
    <row r="1003" spans="1:9" s="370" customFormat="1">
      <c r="A1003" s="363"/>
      <c r="B1003" s="363"/>
      <c r="C1003" s="455"/>
      <c r="D1003" s="363"/>
      <c r="I1003" s="362"/>
    </row>
    <row r="1004" spans="1:9" s="370" customFormat="1">
      <c r="A1004" s="363"/>
      <c r="B1004" s="363"/>
      <c r="C1004" s="455"/>
      <c r="D1004" s="363"/>
      <c r="I1004" s="362"/>
    </row>
    <row r="1005" spans="1:9" s="370" customFormat="1">
      <c r="A1005" s="363"/>
      <c r="B1005" s="363"/>
      <c r="C1005" s="455"/>
      <c r="D1005" s="363"/>
      <c r="I1005" s="362"/>
    </row>
    <row r="1006" spans="1:9" s="370" customFormat="1">
      <c r="A1006" s="363"/>
      <c r="B1006" s="363"/>
      <c r="C1006" s="455"/>
      <c r="D1006" s="363"/>
      <c r="I1006" s="362"/>
    </row>
    <row r="1007" spans="1:9" s="370" customFormat="1">
      <c r="A1007" s="363"/>
      <c r="B1007" s="363"/>
      <c r="C1007" s="455"/>
      <c r="D1007" s="363"/>
      <c r="I1007" s="362"/>
    </row>
    <row r="1008" spans="1:9" s="370" customFormat="1">
      <c r="A1008" s="363"/>
      <c r="B1008" s="363"/>
      <c r="C1008" s="455"/>
      <c r="D1008" s="363"/>
      <c r="I1008" s="362"/>
    </row>
    <row r="1009" spans="1:9" s="370" customFormat="1">
      <c r="A1009" s="363"/>
      <c r="B1009" s="363"/>
      <c r="C1009" s="455"/>
      <c r="D1009" s="363"/>
      <c r="I1009" s="362"/>
    </row>
  </sheetData>
  <mergeCells count="256">
    <mergeCell ref="D1:H3"/>
    <mergeCell ref="A4:I4"/>
    <mergeCell ref="A7:A8"/>
    <mergeCell ref="B7:B8"/>
    <mergeCell ref="C7:C8"/>
    <mergeCell ref="D7:D8"/>
    <mergeCell ref="E7:E8"/>
    <mergeCell ref="F7:F8"/>
    <mergeCell ref="G7:G8"/>
    <mergeCell ref="H7:H8"/>
    <mergeCell ref="D22:D23"/>
    <mergeCell ref="B25:C25"/>
    <mergeCell ref="B26:B27"/>
    <mergeCell ref="B28:C28"/>
    <mergeCell ref="B30:C30"/>
    <mergeCell ref="B32:C32"/>
    <mergeCell ref="I7:I8"/>
    <mergeCell ref="A11:A32"/>
    <mergeCell ref="B12:C12"/>
    <mergeCell ref="B13:B14"/>
    <mergeCell ref="C13:C14"/>
    <mergeCell ref="B15:C15"/>
    <mergeCell ref="B17:C17"/>
    <mergeCell ref="B18:B20"/>
    <mergeCell ref="B21:C21"/>
    <mergeCell ref="B22:B23"/>
    <mergeCell ref="A49:A52"/>
    <mergeCell ref="B50:C50"/>
    <mergeCell ref="B52:C52"/>
    <mergeCell ref="B55:C55"/>
    <mergeCell ref="D56:D57"/>
    <mergeCell ref="B59:C59"/>
    <mergeCell ref="B34:C34"/>
    <mergeCell ref="B36:C36"/>
    <mergeCell ref="B38:C38"/>
    <mergeCell ref="B39:B40"/>
    <mergeCell ref="B41:C41"/>
    <mergeCell ref="A43:A47"/>
    <mergeCell ref="B44:C44"/>
    <mergeCell ref="B45:B46"/>
    <mergeCell ref="B47:C47"/>
    <mergeCell ref="B85:C85"/>
    <mergeCell ref="B86:B90"/>
    <mergeCell ref="C86:C87"/>
    <mergeCell ref="B91:C91"/>
    <mergeCell ref="B92:B100"/>
    <mergeCell ref="D92:D93"/>
    <mergeCell ref="D94:D97"/>
    <mergeCell ref="C99:C100"/>
    <mergeCell ref="A62:A106"/>
    <mergeCell ref="B63:C63"/>
    <mergeCell ref="B64:B68"/>
    <mergeCell ref="B69:C69"/>
    <mergeCell ref="B72:C72"/>
    <mergeCell ref="B74:C74"/>
    <mergeCell ref="B77:C77"/>
    <mergeCell ref="B79:C79"/>
    <mergeCell ref="B81:C81"/>
    <mergeCell ref="B83:C83"/>
    <mergeCell ref="A112:A115"/>
    <mergeCell ref="B113:C113"/>
    <mergeCell ref="B115:C115"/>
    <mergeCell ref="A117:A124"/>
    <mergeCell ref="B118:C118"/>
    <mergeCell ref="B119:B121"/>
    <mergeCell ref="B122:C122"/>
    <mergeCell ref="B123:B124"/>
    <mergeCell ref="B102:C102"/>
    <mergeCell ref="B103:B105"/>
    <mergeCell ref="B106:C106"/>
    <mergeCell ref="A108:A111"/>
    <mergeCell ref="B109:C109"/>
    <mergeCell ref="B111:C111"/>
    <mergeCell ref="B143:C143"/>
    <mergeCell ref="B145:C145"/>
    <mergeCell ref="B147:C147"/>
    <mergeCell ref="A149:A152"/>
    <mergeCell ref="B150:C150"/>
    <mergeCell ref="B152:C152"/>
    <mergeCell ref="A126:A147"/>
    <mergeCell ref="B127:C127"/>
    <mergeCell ref="B128:B129"/>
    <mergeCell ref="C128:C129"/>
    <mergeCell ref="B130:C130"/>
    <mergeCell ref="B132:C132"/>
    <mergeCell ref="B134:C134"/>
    <mergeCell ref="B136:C136"/>
    <mergeCell ref="B137:B142"/>
    <mergeCell ref="C137:C139"/>
    <mergeCell ref="A166:A181"/>
    <mergeCell ref="B167:C167"/>
    <mergeCell ref="B168:B175"/>
    <mergeCell ref="C168:C174"/>
    <mergeCell ref="B176:C176"/>
    <mergeCell ref="B178:C178"/>
    <mergeCell ref="B179:B180"/>
    <mergeCell ref="B181:C181"/>
    <mergeCell ref="A154:A159"/>
    <mergeCell ref="B155:C155"/>
    <mergeCell ref="B156:B158"/>
    <mergeCell ref="B159:C159"/>
    <mergeCell ref="A161:A165"/>
    <mergeCell ref="B162:C162"/>
    <mergeCell ref="B163:B164"/>
    <mergeCell ref="B165:C165"/>
    <mergeCell ref="B194:C194"/>
    <mergeCell ref="B197:C197"/>
    <mergeCell ref="B199:C199"/>
    <mergeCell ref="A200:A213"/>
    <mergeCell ref="B201:C201"/>
    <mergeCell ref="B202:B212"/>
    <mergeCell ref="B183:C183"/>
    <mergeCell ref="B184:B189"/>
    <mergeCell ref="D184:D187"/>
    <mergeCell ref="D188:D189"/>
    <mergeCell ref="B190:C190"/>
    <mergeCell ref="B192:C192"/>
    <mergeCell ref="A221:A232"/>
    <mergeCell ref="B222:C222"/>
    <mergeCell ref="B223:B226"/>
    <mergeCell ref="B227:C227"/>
    <mergeCell ref="B229:C229"/>
    <mergeCell ref="B230:B231"/>
    <mergeCell ref="B232:C232"/>
    <mergeCell ref="D203:D205"/>
    <mergeCell ref="D206:D208"/>
    <mergeCell ref="D209:D210"/>
    <mergeCell ref="B213:C213"/>
    <mergeCell ref="B217:C217"/>
    <mergeCell ref="B219:C219"/>
    <mergeCell ref="B253:C253"/>
    <mergeCell ref="B255:C255"/>
    <mergeCell ref="B256:B259"/>
    <mergeCell ref="D258:D259"/>
    <mergeCell ref="B260:C260"/>
    <mergeCell ref="B261:B266"/>
    <mergeCell ref="D263:D264"/>
    <mergeCell ref="D265:D266"/>
    <mergeCell ref="A234:A276"/>
    <mergeCell ref="B235:C235"/>
    <mergeCell ref="B237:C237"/>
    <mergeCell ref="B239:C239"/>
    <mergeCell ref="B240:C240"/>
    <mergeCell ref="B243:C243"/>
    <mergeCell ref="B245:C245"/>
    <mergeCell ref="B247:C247"/>
    <mergeCell ref="B249:C249"/>
    <mergeCell ref="B251:C251"/>
    <mergeCell ref="D293:D295"/>
    <mergeCell ref="D296:D298"/>
    <mergeCell ref="B268:C268"/>
    <mergeCell ref="B269:B273"/>
    <mergeCell ref="B274:C274"/>
    <mergeCell ref="A278:A306"/>
    <mergeCell ref="B279:C279"/>
    <mergeCell ref="B281:C281"/>
    <mergeCell ref="B283:C283"/>
    <mergeCell ref="B285:C285"/>
    <mergeCell ref="B287:C287"/>
    <mergeCell ref="B288:B289"/>
    <mergeCell ref="B299:C299"/>
    <mergeCell ref="B301:C301"/>
    <mergeCell ref="B302:B304"/>
    <mergeCell ref="C302:C304"/>
    <mergeCell ref="B306:C306"/>
    <mergeCell ref="B308:C308"/>
    <mergeCell ref="C288:C289"/>
    <mergeCell ref="B290:C290"/>
    <mergeCell ref="B292:C292"/>
    <mergeCell ref="B293:B297"/>
    <mergeCell ref="B324:C324"/>
    <mergeCell ref="A326:A328"/>
    <mergeCell ref="B327:C327"/>
    <mergeCell ref="B328:C328"/>
    <mergeCell ref="A331:A334"/>
    <mergeCell ref="B332:C332"/>
    <mergeCell ref="B334:C334"/>
    <mergeCell ref="B309:B310"/>
    <mergeCell ref="D310:D311"/>
    <mergeCell ref="B314:C314"/>
    <mergeCell ref="B318:C318"/>
    <mergeCell ref="B320:C320"/>
    <mergeCell ref="B323:C323"/>
    <mergeCell ref="B349:C349"/>
    <mergeCell ref="B351:C351"/>
    <mergeCell ref="B352:B358"/>
    <mergeCell ref="B359:C359"/>
    <mergeCell ref="B360:B361"/>
    <mergeCell ref="B364:C364"/>
    <mergeCell ref="B336:C336"/>
    <mergeCell ref="B338:C338"/>
    <mergeCell ref="B341:C341"/>
    <mergeCell ref="B343:C343"/>
    <mergeCell ref="B345:C345"/>
    <mergeCell ref="B346:B348"/>
    <mergeCell ref="C346:C348"/>
    <mergeCell ref="B378:B384"/>
    <mergeCell ref="D381:D382"/>
    <mergeCell ref="D383:D384"/>
    <mergeCell ref="B385:C385"/>
    <mergeCell ref="B389:C389"/>
    <mergeCell ref="B390:B392"/>
    <mergeCell ref="C390:C391"/>
    <mergeCell ref="B366:C366"/>
    <mergeCell ref="A367:A374"/>
    <mergeCell ref="B368:C368"/>
    <mergeCell ref="B369:B373"/>
    <mergeCell ref="B374:C374"/>
    <mergeCell ref="B377:C377"/>
    <mergeCell ref="B406:C406"/>
    <mergeCell ref="B408:C408"/>
    <mergeCell ref="B410:C410"/>
    <mergeCell ref="B412:C412"/>
    <mergeCell ref="B414:C414"/>
    <mergeCell ref="B416:C416"/>
    <mergeCell ref="B393:C393"/>
    <mergeCell ref="B395:C395"/>
    <mergeCell ref="B397:C397"/>
    <mergeCell ref="B399:C399"/>
    <mergeCell ref="B400:B402"/>
    <mergeCell ref="B403:C403"/>
    <mergeCell ref="A417:A432"/>
    <mergeCell ref="B418:C418"/>
    <mergeCell ref="B420:C420"/>
    <mergeCell ref="B422:C422"/>
    <mergeCell ref="B423:B425"/>
    <mergeCell ref="B426:C426"/>
    <mergeCell ref="B428:C428"/>
    <mergeCell ref="B429:B431"/>
    <mergeCell ref="C429:C431"/>
    <mergeCell ref="B432:C432"/>
    <mergeCell ref="A446:A450"/>
    <mergeCell ref="B447:C447"/>
    <mergeCell ref="B448:B449"/>
    <mergeCell ref="B450:C450"/>
    <mergeCell ref="B452:C452"/>
    <mergeCell ref="B453:C453"/>
    <mergeCell ref="B435:C435"/>
    <mergeCell ref="B437:C437"/>
    <mergeCell ref="B439:C439"/>
    <mergeCell ref="B441:C441"/>
    <mergeCell ref="B443:C443"/>
    <mergeCell ref="B444:C444"/>
    <mergeCell ref="A470:C470"/>
    <mergeCell ref="A471:C471"/>
    <mergeCell ref="A472:C472"/>
    <mergeCell ref="A475:C475"/>
    <mergeCell ref="A455:A458"/>
    <mergeCell ref="B456:C456"/>
    <mergeCell ref="B458:C458"/>
    <mergeCell ref="A460:A469"/>
    <mergeCell ref="B461:C461"/>
    <mergeCell ref="B462:B464"/>
    <mergeCell ref="B465:C465"/>
    <mergeCell ref="B467:C467"/>
    <mergeCell ref="B469:C46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Strona &amp;P z &amp;N</oddFooter>
  </headerFooter>
  <rowBreaks count="2" manualBreakCount="2">
    <brk id="106" max="8" man="1"/>
    <brk id="134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K29"/>
  <sheetViews>
    <sheetView view="pageBreakPreview" zoomScaleNormal="100" zoomScaleSheetLayoutView="100" workbookViewId="0">
      <selection activeCell="N5" sqref="N5"/>
    </sheetView>
  </sheetViews>
  <sheetFormatPr defaultRowHeight="12.75"/>
  <cols>
    <col min="1" max="1" width="9.140625" style="1"/>
    <col min="2" max="2" width="11" style="1" customWidth="1"/>
    <col min="3" max="3" width="11.140625" style="1" customWidth="1"/>
    <col min="4" max="4" width="9.140625" style="1"/>
    <col min="5" max="5" width="10.5703125" style="1" customWidth="1"/>
    <col min="6" max="6" width="11.42578125" style="1" customWidth="1"/>
    <col min="7" max="7" width="12.85546875" style="1" customWidth="1"/>
    <col min="8" max="8" width="18.85546875" style="1" customWidth="1"/>
    <col min="9" max="9" width="12" style="1" customWidth="1"/>
    <col min="10" max="10" width="13" style="1" customWidth="1"/>
    <col min="11" max="11" width="15.140625" style="1" customWidth="1"/>
    <col min="12" max="257" width="9.140625" style="1"/>
    <col min="258" max="258" width="11" style="1" customWidth="1"/>
    <col min="259" max="259" width="11.140625" style="1" customWidth="1"/>
    <col min="260" max="260" width="9.140625" style="1"/>
    <col min="261" max="261" width="10.5703125" style="1" customWidth="1"/>
    <col min="262" max="262" width="11.42578125" style="1" customWidth="1"/>
    <col min="263" max="263" width="12.85546875" style="1" customWidth="1"/>
    <col min="264" max="264" width="18.85546875" style="1" customWidth="1"/>
    <col min="265" max="265" width="12" style="1" customWidth="1"/>
    <col min="266" max="266" width="13" style="1" customWidth="1"/>
    <col min="267" max="267" width="15.140625" style="1" customWidth="1"/>
    <col min="268" max="513" width="9.140625" style="1"/>
    <col min="514" max="514" width="11" style="1" customWidth="1"/>
    <col min="515" max="515" width="11.140625" style="1" customWidth="1"/>
    <col min="516" max="516" width="9.140625" style="1"/>
    <col min="517" max="517" width="10.5703125" style="1" customWidth="1"/>
    <col min="518" max="518" width="11.42578125" style="1" customWidth="1"/>
    <col min="519" max="519" width="12.85546875" style="1" customWidth="1"/>
    <col min="520" max="520" width="18.85546875" style="1" customWidth="1"/>
    <col min="521" max="521" width="12" style="1" customWidth="1"/>
    <col min="522" max="522" width="13" style="1" customWidth="1"/>
    <col min="523" max="523" width="15.140625" style="1" customWidth="1"/>
    <col min="524" max="769" width="9.140625" style="1"/>
    <col min="770" max="770" width="11" style="1" customWidth="1"/>
    <col min="771" max="771" width="11.140625" style="1" customWidth="1"/>
    <col min="772" max="772" width="9.140625" style="1"/>
    <col min="773" max="773" width="10.5703125" style="1" customWidth="1"/>
    <col min="774" max="774" width="11.42578125" style="1" customWidth="1"/>
    <col min="775" max="775" width="12.85546875" style="1" customWidth="1"/>
    <col min="776" max="776" width="18.85546875" style="1" customWidth="1"/>
    <col min="777" max="777" width="12" style="1" customWidth="1"/>
    <col min="778" max="778" width="13" style="1" customWidth="1"/>
    <col min="779" max="779" width="15.140625" style="1" customWidth="1"/>
    <col min="780" max="1025" width="9.140625" style="1"/>
    <col min="1026" max="1026" width="11" style="1" customWidth="1"/>
    <col min="1027" max="1027" width="11.140625" style="1" customWidth="1"/>
    <col min="1028" max="1028" width="9.140625" style="1"/>
    <col min="1029" max="1029" width="10.5703125" style="1" customWidth="1"/>
    <col min="1030" max="1030" width="11.42578125" style="1" customWidth="1"/>
    <col min="1031" max="1031" width="12.85546875" style="1" customWidth="1"/>
    <col min="1032" max="1032" width="18.85546875" style="1" customWidth="1"/>
    <col min="1033" max="1033" width="12" style="1" customWidth="1"/>
    <col min="1034" max="1034" width="13" style="1" customWidth="1"/>
    <col min="1035" max="1035" width="15.140625" style="1" customWidth="1"/>
    <col min="1036" max="1281" width="9.140625" style="1"/>
    <col min="1282" max="1282" width="11" style="1" customWidth="1"/>
    <col min="1283" max="1283" width="11.140625" style="1" customWidth="1"/>
    <col min="1284" max="1284" width="9.140625" style="1"/>
    <col min="1285" max="1285" width="10.5703125" style="1" customWidth="1"/>
    <col min="1286" max="1286" width="11.42578125" style="1" customWidth="1"/>
    <col min="1287" max="1287" width="12.85546875" style="1" customWidth="1"/>
    <col min="1288" max="1288" width="18.85546875" style="1" customWidth="1"/>
    <col min="1289" max="1289" width="12" style="1" customWidth="1"/>
    <col min="1290" max="1290" width="13" style="1" customWidth="1"/>
    <col min="1291" max="1291" width="15.140625" style="1" customWidth="1"/>
    <col min="1292" max="1537" width="9.140625" style="1"/>
    <col min="1538" max="1538" width="11" style="1" customWidth="1"/>
    <col min="1539" max="1539" width="11.140625" style="1" customWidth="1"/>
    <col min="1540" max="1540" width="9.140625" style="1"/>
    <col min="1541" max="1541" width="10.5703125" style="1" customWidth="1"/>
    <col min="1542" max="1542" width="11.42578125" style="1" customWidth="1"/>
    <col min="1543" max="1543" width="12.85546875" style="1" customWidth="1"/>
    <col min="1544" max="1544" width="18.85546875" style="1" customWidth="1"/>
    <col min="1545" max="1545" width="12" style="1" customWidth="1"/>
    <col min="1546" max="1546" width="13" style="1" customWidth="1"/>
    <col min="1547" max="1547" width="15.140625" style="1" customWidth="1"/>
    <col min="1548" max="1793" width="9.140625" style="1"/>
    <col min="1794" max="1794" width="11" style="1" customWidth="1"/>
    <col min="1795" max="1795" width="11.140625" style="1" customWidth="1"/>
    <col min="1796" max="1796" width="9.140625" style="1"/>
    <col min="1797" max="1797" width="10.5703125" style="1" customWidth="1"/>
    <col min="1798" max="1798" width="11.42578125" style="1" customWidth="1"/>
    <col min="1799" max="1799" width="12.85546875" style="1" customWidth="1"/>
    <col min="1800" max="1800" width="18.85546875" style="1" customWidth="1"/>
    <col min="1801" max="1801" width="12" style="1" customWidth="1"/>
    <col min="1802" max="1802" width="13" style="1" customWidth="1"/>
    <col min="1803" max="1803" width="15.140625" style="1" customWidth="1"/>
    <col min="1804" max="2049" width="9.140625" style="1"/>
    <col min="2050" max="2050" width="11" style="1" customWidth="1"/>
    <col min="2051" max="2051" width="11.140625" style="1" customWidth="1"/>
    <col min="2052" max="2052" width="9.140625" style="1"/>
    <col min="2053" max="2053" width="10.5703125" style="1" customWidth="1"/>
    <col min="2054" max="2054" width="11.42578125" style="1" customWidth="1"/>
    <col min="2055" max="2055" width="12.85546875" style="1" customWidth="1"/>
    <col min="2056" max="2056" width="18.85546875" style="1" customWidth="1"/>
    <col min="2057" max="2057" width="12" style="1" customWidth="1"/>
    <col min="2058" max="2058" width="13" style="1" customWidth="1"/>
    <col min="2059" max="2059" width="15.140625" style="1" customWidth="1"/>
    <col min="2060" max="2305" width="9.140625" style="1"/>
    <col min="2306" max="2306" width="11" style="1" customWidth="1"/>
    <col min="2307" max="2307" width="11.140625" style="1" customWidth="1"/>
    <col min="2308" max="2308" width="9.140625" style="1"/>
    <col min="2309" max="2309" width="10.5703125" style="1" customWidth="1"/>
    <col min="2310" max="2310" width="11.42578125" style="1" customWidth="1"/>
    <col min="2311" max="2311" width="12.85546875" style="1" customWidth="1"/>
    <col min="2312" max="2312" width="18.85546875" style="1" customWidth="1"/>
    <col min="2313" max="2313" width="12" style="1" customWidth="1"/>
    <col min="2314" max="2314" width="13" style="1" customWidth="1"/>
    <col min="2315" max="2315" width="15.140625" style="1" customWidth="1"/>
    <col min="2316" max="2561" width="9.140625" style="1"/>
    <col min="2562" max="2562" width="11" style="1" customWidth="1"/>
    <col min="2563" max="2563" width="11.140625" style="1" customWidth="1"/>
    <col min="2564" max="2564" width="9.140625" style="1"/>
    <col min="2565" max="2565" width="10.5703125" style="1" customWidth="1"/>
    <col min="2566" max="2566" width="11.42578125" style="1" customWidth="1"/>
    <col min="2567" max="2567" width="12.85546875" style="1" customWidth="1"/>
    <col min="2568" max="2568" width="18.85546875" style="1" customWidth="1"/>
    <col min="2569" max="2569" width="12" style="1" customWidth="1"/>
    <col min="2570" max="2570" width="13" style="1" customWidth="1"/>
    <col min="2571" max="2571" width="15.140625" style="1" customWidth="1"/>
    <col min="2572" max="2817" width="9.140625" style="1"/>
    <col min="2818" max="2818" width="11" style="1" customWidth="1"/>
    <col min="2819" max="2819" width="11.140625" style="1" customWidth="1"/>
    <col min="2820" max="2820" width="9.140625" style="1"/>
    <col min="2821" max="2821" width="10.5703125" style="1" customWidth="1"/>
    <col min="2822" max="2822" width="11.42578125" style="1" customWidth="1"/>
    <col min="2823" max="2823" width="12.85546875" style="1" customWidth="1"/>
    <col min="2824" max="2824" width="18.85546875" style="1" customWidth="1"/>
    <col min="2825" max="2825" width="12" style="1" customWidth="1"/>
    <col min="2826" max="2826" width="13" style="1" customWidth="1"/>
    <col min="2827" max="2827" width="15.140625" style="1" customWidth="1"/>
    <col min="2828" max="3073" width="9.140625" style="1"/>
    <col min="3074" max="3074" width="11" style="1" customWidth="1"/>
    <col min="3075" max="3075" width="11.140625" style="1" customWidth="1"/>
    <col min="3076" max="3076" width="9.140625" style="1"/>
    <col min="3077" max="3077" width="10.5703125" style="1" customWidth="1"/>
    <col min="3078" max="3078" width="11.42578125" style="1" customWidth="1"/>
    <col min="3079" max="3079" width="12.85546875" style="1" customWidth="1"/>
    <col min="3080" max="3080" width="18.85546875" style="1" customWidth="1"/>
    <col min="3081" max="3081" width="12" style="1" customWidth="1"/>
    <col min="3082" max="3082" width="13" style="1" customWidth="1"/>
    <col min="3083" max="3083" width="15.140625" style="1" customWidth="1"/>
    <col min="3084" max="3329" width="9.140625" style="1"/>
    <col min="3330" max="3330" width="11" style="1" customWidth="1"/>
    <col min="3331" max="3331" width="11.140625" style="1" customWidth="1"/>
    <col min="3332" max="3332" width="9.140625" style="1"/>
    <col min="3333" max="3333" width="10.5703125" style="1" customWidth="1"/>
    <col min="3334" max="3334" width="11.42578125" style="1" customWidth="1"/>
    <col min="3335" max="3335" width="12.85546875" style="1" customWidth="1"/>
    <col min="3336" max="3336" width="18.85546875" style="1" customWidth="1"/>
    <col min="3337" max="3337" width="12" style="1" customWidth="1"/>
    <col min="3338" max="3338" width="13" style="1" customWidth="1"/>
    <col min="3339" max="3339" width="15.140625" style="1" customWidth="1"/>
    <col min="3340" max="3585" width="9.140625" style="1"/>
    <col min="3586" max="3586" width="11" style="1" customWidth="1"/>
    <col min="3587" max="3587" width="11.140625" style="1" customWidth="1"/>
    <col min="3588" max="3588" width="9.140625" style="1"/>
    <col min="3589" max="3589" width="10.5703125" style="1" customWidth="1"/>
    <col min="3590" max="3590" width="11.42578125" style="1" customWidth="1"/>
    <col min="3591" max="3591" width="12.85546875" style="1" customWidth="1"/>
    <col min="3592" max="3592" width="18.85546875" style="1" customWidth="1"/>
    <col min="3593" max="3593" width="12" style="1" customWidth="1"/>
    <col min="3594" max="3594" width="13" style="1" customWidth="1"/>
    <col min="3595" max="3595" width="15.140625" style="1" customWidth="1"/>
    <col min="3596" max="3841" width="9.140625" style="1"/>
    <col min="3842" max="3842" width="11" style="1" customWidth="1"/>
    <col min="3843" max="3843" width="11.140625" style="1" customWidth="1"/>
    <col min="3844" max="3844" width="9.140625" style="1"/>
    <col min="3845" max="3845" width="10.5703125" style="1" customWidth="1"/>
    <col min="3846" max="3846" width="11.42578125" style="1" customWidth="1"/>
    <col min="3847" max="3847" width="12.85546875" style="1" customWidth="1"/>
    <col min="3848" max="3848" width="18.85546875" style="1" customWidth="1"/>
    <col min="3849" max="3849" width="12" style="1" customWidth="1"/>
    <col min="3850" max="3850" width="13" style="1" customWidth="1"/>
    <col min="3851" max="3851" width="15.140625" style="1" customWidth="1"/>
    <col min="3852" max="4097" width="9.140625" style="1"/>
    <col min="4098" max="4098" width="11" style="1" customWidth="1"/>
    <col min="4099" max="4099" width="11.140625" style="1" customWidth="1"/>
    <col min="4100" max="4100" width="9.140625" style="1"/>
    <col min="4101" max="4101" width="10.5703125" style="1" customWidth="1"/>
    <col min="4102" max="4102" width="11.42578125" style="1" customWidth="1"/>
    <col min="4103" max="4103" width="12.85546875" style="1" customWidth="1"/>
    <col min="4104" max="4104" width="18.85546875" style="1" customWidth="1"/>
    <col min="4105" max="4105" width="12" style="1" customWidth="1"/>
    <col min="4106" max="4106" width="13" style="1" customWidth="1"/>
    <col min="4107" max="4107" width="15.140625" style="1" customWidth="1"/>
    <col min="4108" max="4353" width="9.140625" style="1"/>
    <col min="4354" max="4354" width="11" style="1" customWidth="1"/>
    <col min="4355" max="4355" width="11.140625" style="1" customWidth="1"/>
    <col min="4356" max="4356" width="9.140625" style="1"/>
    <col min="4357" max="4357" width="10.5703125" style="1" customWidth="1"/>
    <col min="4358" max="4358" width="11.42578125" style="1" customWidth="1"/>
    <col min="4359" max="4359" width="12.85546875" style="1" customWidth="1"/>
    <col min="4360" max="4360" width="18.85546875" style="1" customWidth="1"/>
    <col min="4361" max="4361" width="12" style="1" customWidth="1"/>
    <col min="4362" max="4362" width="13" style="1" customWidth="1"/>
    <col min="4363" max="4363" width="15.140625" style="1" customWidth="1"/>
    <col min="4364" max="4609" width="9.140625" style="1"/>
    <col min="4610" max="4610" width="11" style="1" customWidth="1"/>
    <col min="4611" max="4611" width="11.140625" style="1" customWidth="1"/>
    <col min="4612" max="4612" width="9.140625" style="1"/>
    <col min="4613" max="4613" width="10.5703125" style="1" customWidth="1"/>
    <col min="4614" max="4614" width="11.42578125" style="1" customWidth="1"/>
    <col min="4615" max="4615" width="12.85546875" style="1" customWidth="1"/>
    <col min="4616" max="4616" width="18.85546875" style="1" customWidth="1"/>
    <col min="4617" max="4617" width="12" style="1" customWidth="1"/>
    <col min="4618" max="4618" width="13" style="1" customWidth="1"/>
    <col min="4619" max="4619" width="15.140625" style="1" customWidth="1"/>
    <col min="4620" max="4865" width="9.140625" style="1"/>
    <col min="4866" max="4866" width="11" style="1" customWidth="1"/>
    <col min="4867" max="4867" width="11.140625" style="1" customWidth="1"/>
    <col min="4868" max="4868" width="9.140625" style="1"/>
    <col min="4869" max="4869" width="10.5703125" style="1" customWidth="1"/>
    <col min="4870" max="4870" width="11.42578125" style="1" customWidth="1"/>
    <col min="4871" max="4871" width="12.85546875" style="1" customWidth="1"/>
    <col min="4872" max="4872" width="18.85546875" style="1" customWidth="1"/>
    <col min="4873" max="4873" width="12" style="1" customWidth="1"/>
    <col min="4874" max="4874" width="13" style="1" customWidth="1"/>
    <col min="4875" max="4875" width="15.140625" style="1" customWidth="1"/>
    <col min="4876" max="5121" width="9.140625" style="1"/>
    <col min="5122" max="5122" width="11" style="1" customWidth="1"/>
    <col min="5123" max="5123" width="11.140625" style="1" customWidth="1"/>
    <col min="5124" max="5124" width="9.140625" style="1"/>
    <col min="5125" max="5125" width="10.5703125" style="1" customWidth="1"/>
    <col min="5126" max="5126" width="11.42578125" style="1" customWidth="1"/>
    <col min="5127" max="5127" width="12.85546875" style="1" customWidth="1"/>
    <col min="5128" max="5128" width="18.85546875" style="1" customWidth="1"/>
    <col min="5129" max="5129" width="12" style="1" customWidth="1"/>
    <col min="5130" max="5130" width="13" style="1" customWidth="1"/>
    <col min="5131" max="5131" width="15.140625" style="1" customWidth="1"/>
    <col min="5132" max="5377" width="9.140625" style="1"/>
    <col min="5378" max="5378" width="11" style="1" customWidth="1"/>
    <col min="5379" max="5379" width="11.140625" style="1" customWidth="1"/>
    <col min="5380" max="5380" width="9.140625" style="1"/>
    <col min="5381" max="5381" width="10.5703125" style="1" customWidth="1"/>
    <col min="5382" max="5382" width="11.42578125" style="1" customWidth="1"/>
    <col min="5383" max="5383" width="12.85546875" style="1" customWidth="1"/>
    <col min="5384" max="5384" width="18.85546875" style="1" customWidth="1"/>
    <col min="5385" max="5385" width="12" style="1" customWidth="1"/>
    <col min="5386" max="5386" width="13" style="1" customWidth="1"/>
    <col min="5387" max="5387" width="15.140625" style="1" customWidth="1"/>
    <col min="5388" max="5633" width="9.140625" style="1"/>
    <col min="5634" max="5634" width="11" style="1" customWidth="1"/>
    <col min="5635" max="5635" width="11.140625" style="1" customWidth="1"/>
    <col min="5636" max="5636" width="9.140625" style="1"/>
    <col min="5637" max="5637" width="10.5703125" style="1" customWidth="1"/>
    <col min="5638" max="5638" width="11.42578125" style="1" customWidth="1"/>
    <col min="5639" max="5639" width="12.85546875" style="1" customWidth="1"/>
    <col min="5640" max="5640" width="18.85546875" style="1" customWidth="1"/>
    <col min="5641" max="5641" width="12" style="1" customWidth="1"/>
    <col min="5642" max="5642" width="13" style="1" customWidth="1"/>
    <col min="5643" max="5643" width="15.140625" style="1" customWidth="1"/>
    <col min="5644" max="5889" width="9.140625" style="1"/>
    <col min="5890" max="5890" width="11" style="1" customWidth="1"/>
    <col min="5891" max="5891" width="11.140625" style="1" customWidth="1"/>
    <col min="5892" max="5892" width="9.140625" style="1"/>
    <col min="5893" max="5893" width="10.5703125" style="1" customWidth="1"/>
    <col min="5894" max="5894" width="11.42578125" style="1" customWidth="1"/>
    <col min="5895" max="5895" width="12.85546875" style="1" customWidth="1"/>
    <col min="5896" max="5896" width="18.85546875" style="1" customWidth="1"/>
    <col min="5897" max="5897" width="12" style="1" customWidth="1"/>
    <col min="5898" max="5898" width="13" style="1" customWidth="1"/>
    <col min="5899" max="5899" width="15.140625" style="1" customWidth="1"/>
    <col min="5900" max="6145" width="9.140625" style="1"/>
    <col min="6146" max="6146" width="11" style="1" customWidth="1"/>
    <col min="6147" max="6147" width="11.140625" style="1" customWidth="1"/>
    <col min="6148" max="6148" width="9.140625" style="1"/>
    <col min="6149" max="6149" width="10.5703125" style="1" customWidth="1"/>
    <col min="6150" max="6150" width="11.42578125" style="1" customWidth="1"/>
    <col min="6151" max="6151" width="12.85546875" style="1" customWidth="1"/>
    <col min="6152" max="6152" width="18.85546875" style="1" customWidth="1"/>
    <col min="6153" max="6153" width="12" style="1" customWidth="1"/>
    <col min="6154" max="6154" width="13" style="1" customWidth="1"/>
    <col min="6155" max="6155" width="15.140625" style="1" customWidth="1"/>
    <col min="6156" max="6401" width="9.140625" style="1"/>
    <col min="6402" max="6402" width="11" style="1" customWidth="1"/>
    <col min="6403" max="6403" width="11.140625" style="1" customWidth="1"/>
    <col min="6404" max="6404" width="9.140625" style="1"/>
    <col min="6405" max="6405" width="10.5703125" style="1" customWidth="1"/>
    <col min="6406" max="6406" width="11.42578125" style="1" customWidth="1"/>
    <col min="6407" max="6407" width="12.85546875" style="1" customWidth="1"/>
    <col min="6408" max="6408" width="18.85546875" style="1" customWidth="1"/>
    <col min="6409" max="6409" width="12" style="1" customWidth="1"/>
    <col min="6410" max="6410" width="13" style="1" customWidth="1"/>
    <col min="6411" max="6411" width="15.140625" style="1" customWidth="1"/>
    <col min="6412" max="6657" width="9.140625" style="1"/>
    <col min="6658" max="6658" width="11" style="1" customWidth="1"/>
    <col min="6659" max="6659" width="11.140625" style="1" customWidth="1"/>
    <col min="6660" max="6660" width="9.140625" style="1"/>
    <col min="6661" max="6661" width="10.5703125" style="1" customWidth="1"/>
    <col min="6662" max="6662" width="11.42578125" style="1" customWidth="1"/>
    <col min="6663" max="6663" width="12.85546875" style="1" customWidth="1"/>
    <col min="6664" max="6664" width="18.85546875" style="1" customWidth="1"/>
    <col min="6665" max="6665" width="12" style="1" customWidth="1"/>
    <col min="6666" max="6666" width="13" style="1" customWidth="1"/>
    <col min="6667" max="6667" width="15.140625" style="1" customWidth="1"/>
    <col min="6668" max="6913" width="9.140625" style="1"/>
    <col min="6914" max="6914" width="11" style="1" customWidth="1"/>
    <col min="6915" max="6915" width="11.140625" style="1" customWidth="1"/>
    <col min="6916" max="6916" width="9.140625" style="1"/>
    <col min="6917" max="6917" width="10.5703125" style="1" customWidth="1"/>
    <col min="6918" max="6918" width="11.42578125" style="1" customWidth="1"/>
    <col min="6919" max="6919" width="12.85546875" style="1" customWidth="1"/>
    <col min="6920" max="6920" width="18.85546875" style="1" customWidth="1"/>
    <col min="6921" max="6921" width="12" style="1" customWidth="1"/>
    <col min="6922" max="6922" width="13" style="1" customWidth="1"/>
    <col min="6923" max="6923" width="15.140625" style="1" customWidth="1"/>
    <col min="6924" max="7169" width="9.140625" style="1"/>
    <col min="7170" max="7170" width="11" style="1" customWidth="1"/>
    <col min="7171" max="7171" width="11.140625" style="1" customWidth="1"/>
    <col min="7172" max="7172" width="9.140625" style="1"/>
    <col min="7173" max="7173" width="10.5703125" style="1" customWidth="1"/>
    <col min="7174" max="7174" width="11.42578125" style="1" customWidth="1"/>
    <col min="7175" max="7175" width="12.85546875" style="1" customWidth="1"/>
    <col min="7176" max="7176" width="18.85546875" style="1" customWidth="1"/>
    <col min="7177" max="7177" width="12" style="1" customWidth="1"/>
    <col min="7178" max="7178" width="13" style="1" customWidth="1"/>
    <col min="7179" max="7179" width="15.140625" style="1" customWidth="1"/>
    <col min="7180" max="7425" width="9.140625" style="1"/>
    <col min="7426" max="7426" width="11" style="1" customWidth="1"/>
    <col min="7427" max="7427" width="11.140625" style="1" customWidth="1"/>
    <col min="7428" max="7428" width="9.140625" style="1"/>
    <col min="7429" max="7429" width="10.5703125" style="1" customWidth="1"/>
    <col min="7430" max="7430" width="11.42578125" style="1" customWidth="1"/>
    <col min="7431" max="7431" width="12.85546875" style="1" customWidth="1"/>
    <col min="7432" max="7432" width="18.85546875" style="1" customWidth="1"/>
    <col min="7433" max="7433" width="12" style="1" customWidth="1"/>
    <col min="7434" max="7434" width="13" style="1" customWidth="1"/>
    <col min="7435" max="7435" width="15.140625" style="1" customWidth="1"/>
    <col min="7436" max="7681" width="9.140625" style="1"/>
    <col min="7682" max="7682" width="11" style="1" customWidth="1"/>
    <col min="7683" max="7683" width="11.140625" style="1" customWidth="1"/>
    <col min="7684" max="7684" width="9.140625" style="1"/>
    <col min="7685" max="7685" width="10.5703125" style="1" customWidth="1"/>
    <col min="7686" max="7686" width="11.42578125" style="1" customWidth="1"/>
    <col min="7687" max="7687" width="12.85546875" style="1" customWidth="1"/>
    <col min="7688" max="7688" width="18.85546875" style="1" customWidth="1"/>
    <col min="7689" max="7689" width="12" style="1" customWidth="1"/>
    <col min="7690" max="7690" width="13" style="1" customWidth="1"/>
    <col min="7691" max="7691" width="15.140625" style="1" customWidth="1"/>
    <col min="7692" max="7937" width="9.140625" style="1"/>
    <col min="7938" max="7938" width="11" style="1" customWidth="1"/>
    <col min="7939" max="7939" width="11.140625" style="1" customWidth="1"/>
    <col min="7940" max="7940" width="9.140625" style="1"/>
    <col min="7941" max="7941" width="10.5703125" style="1" customWidth="1"/>
    <col min="7942" max="7942" width="11.42578125" style="1" customWidth="1"/>
    <col min="7943" max="7943" width="12.85546875" style="1" customWidth="1"/>
    <col min="7944" max="7944" width="18.85546875" style="1" customWidth="1"/>
    <col min="7945" max="7945" width="12" style="1" customWidth="1"/>
    <col min="7946" max="7946" width="13" style="1" customWidth="1"/>
    <col min="7947" max="7947" width="15.140625" style="1" customWidth="1"/>
    <col min="7948" max="8193" width="9.140625" style="1"/>
    <col min="8194" max="8194" width="11" style="1" customWidth="1"/>
    <col min="8195" max="8195" width="11.140625" style="1" customWidth="1"/>
    <col min="8196" max="8196" width="9.140625" style="1"/>
    <col min="8197" max="8197" width="10.5703125" style="1" customWidth="1"/>
    <col min="8198" max="8198" width="11.42578125" style="1" customWidth="1"/>
    <col min="8199" max="8199" width="12.85546875" style="1" customWidth="1"/>
    <col min="8200" max="8200" width="18.85546875" style="1" customWidth="1"/>
    <col min="8201" max="8201" width="12" style="1" customWidth="1"/>
    <col min="8202" max="8202" width="13" style="1" customWidth="1"/>
    <col min="8203" max="8203" width="15.140625" style="1" customWidth="1"/>
    <col min="8204" max="8449" width="9.140625" style="1"/>
    <col min="8450" max="8450" width="11" style="1" customWidth="1"/>
    <col min="8451" max="8451" width="11.140625" style="1" customWidth="1"/>
    <col min="8452" max="8452" width="9.140625" style="1"/>
    <col min="8453" max="8453" width="10.5703125" style="1" customWidth="1"/>
    <col min="8454" max="8454" width="11.42578125" style="1" customWidth="1"/>
    <col min="8455" max="8455" width="12.85546875" style="1" customWidth="1"/>
    <col min="8456" max="8456" width="18.85546875" style="1" customWidth="1"/>
    <col min="8457" max="8457" width="12" style="1" customWidth="1"/>
    <col min="8458" max="8458" width="13" style="1" customWidth="1"/>
    <col min="8459" max="8459" width="15.140625" style="1" customWidth="1"/>
    <col min="8460" max="8705" width="9.140625" style="1"/>
    <col min="8706" max="8706" width="11" style="1" customWidth="1"/>
    <col min="8707" max="8707" width="11.140625" style="1" customWidth="1"/>
    <col min="8708" max="8708" width="9.140625" style="1"/>
    <col min="8709" max="8709" width="10.5703125" style="1" customWidth="1"/>
    <col min="8710" max="8710" width="11.42578125" style="1" customWidth="1"/>
    <col min="8711" max="8711" width="12.85546875" style="1" customWidth="1"/>
    <col min="8712" max="8712" width="18.85546875" style="1" customWidth="1"/>
    <col min="8713" max="8713" width="12" style="1" customWidth="1"/>
    <col min="8714" max="8714" width="13" style="1" customWidth="1"/>
    <col min="8715" max="8715" width="15.140625" style="1" customWidth="1"/>
    <col min="8716" max="8961" width="9.140625" style="1"/>
    <col min="8962" max="8962" width="11" style="1" customWidth="1"/>
    <col min="8963" max="8963" width="11.140625" style="1" customWidth="1"/>
    <col min="8964" max="8964" width="9.140625" style="1"/>
    <col min="8965" max="8965" width="10.5703125" style="1" customWidth="1"/>
    <col min="8966" max="8966" width="11.42578125" style="1" customWidth="1"/>
    <col min="8967" max="8967" width="12.85546875" style="1" customWidth="1"/>
    <col min="8968" max="8968" width="18.85546875" style="1" customWidth="1"/>
    <col min="8969" max="8969" width="12" style="1" customWidth="1"/>
    <col min="8970" max="8970" width="13" style="1" customWidth="1"/>
    <col min="8971" max="8971" width="15.140625" style="1" customWidth="1"/>
    <col min="8972" max="9217" width="9.140625" style="1"/>
    <col min="9218" max="9218" width="11" style="1" customWidth="1"/>
    <col min="9219" max="9219" width="11.140625" style="1" customWidth="1"/>
    <col min="9220" max="9220" width="9.140625" style="1"/>
    <col min="9221" max="9221" width="10.5703125" style="1" customWidth="1"/>
    <col min="9222" max="9222" width="11.42578125" style="1" customWidth="1"/>
    <col min="9223" max="9223" width="12.85546875" style="1" customWidth="1"/>
    <col min="9224" max="9224" width="18.85546875" style="1" customWidth="1"/>
    <col min="9225" max="9225" width="12" style="1" customWidth="1"/>
    <col min="9226" max="9226" width="13" style="1" customWidth="1"/>
    <col min="9227" max="9227" width="15.140625" style="1" customWidth="1"/>
    <col min="9228" max="9473" width="9.140625" style="1"/>
    <col min="9474" max="9474" width="11" style="1" customWidth="1"/>
    <col min="9475" max="9475" width="11.140625" style="1" customWidth="1"/>
    <col min="9476" max="9476" width="9.140625" style="1"/>
    <col min="9477" max="9477" width="10.5703125" style="1" customWidth="1"/>
    <col min="9478" max="9478" width="11.42578125" style="1" customWidth="1"/>
    <col min="9479" max="9479" width="12.85546875" style="1" customWidth="1"/>
    <col min="9480" max="9480" width="18.85546875" style="1" customWidth="1"/>
    <col min="9481" max="9481" width="12" style="1" customWidth="1"/>
    <col min="9482" max="9482" width="13" style="1" customWidth="1"/>
    <col min="9483" max="9483" width="15.140625" style="1" customWidth="1"/>
    <col min="9484" max="9729" width="9.140625" style="1"/>
    <col min="9730" max="9730" width="11" style="1" customWidth="1"/>
    <col min="9731" max="9731" width="11.140625" style="1" customWidth="1"/>
    <col min="9732" max="9732" width="9.140625" style="1"/>
    <col min="9733" max="9733" width="10.5703125" style="1" customWidth="1"/>
    <col min="9734" max="9734" width="11.42578125" style="1" customWidth="1"/>
    <col min="9735" max="9735" width="12.85546875" style="1" customWidth="1"/>
    <col min="9736" max="9736" width="18.85546875" style="1" customWidth="1"/>
    <col min="9737" max="9737" width="12" style="1" customWidth="1"/>
    <col min="9738" max="9738" width="13" style="1" customWidth="1"/>
    <col min="9739" max="9739" width="15.140625" style="1" customWidth="1"/>
    <col min="9740" max="9985" width="9.140625" style="1"/>
    <col min="9986" max="9986" width="11" style="1" customWidth="1"/>
    <col min="9987" max="9987" width="11.140625" style="1" customWidth="1"/>
    <col min="9988" max="9988" width="9.140625" style="1"/>
    <col min="9989" max="9989" width="10.5703125" style="1" customWidth="1"/>
    <col min="9990" max="9990" width="11.42578125" style="1" customWidth="1"/>
    <col min="9991" max="9991" width="12.85546875" style="1" customWidth="1"/>
    <col min="9992" max="9992" width="18.85546875" style="1" customWidth="1"/>
    <col min="9993" max="9993" width="12" style="1" customWidth="1"/>
    <col min="9994" max="9994" width="13" style="1" customWidth="1"/>
    <col min="9995" max="9995" width="15.140625" style="1" customWidth="1"/>
    <col min="9996" max="10241" width="9.140625" style="1"/>
    <col min="10242" max="10242" width="11" style="1" customWidth="1"/>
    <col min="10243" max="10243" width="11.140625" style="1" customWidth="1"/>
    <col min="10244" max="10244" width="9.140625" style="1"/>
    <col min="10245" max="10245" width="10.5703125" style="1" customWidth="1"/>
    <col min="10246" max="10246" width="11.42578125" style="1" customWidth="1"/>
    <col min="10247" max="10247" width="12.85546875" style="1" customWidth="1"/>
    <col min="10248" max="10248" width="18.85546875" style="1" customWidth="1"/>
    <col min="10249" max="10249" width="12" style="1" customWidth="1"/>
    <col min="10250" max="10250" width="13" style="1" customWidth="1"/>
    <col min="10251" max="10251" width="15.140625" style="1" customWidth="1"/>
    <col min="10252" max="10497" width="9.140625" style="1"/>
    <col min="10498" max="10498" width="11" style="1" customWidth="1"/>
    <col min="10499" max="10499" width="11.140625" style="1" customWidth="1"/>
    <col min="10500" max="10500" width="9.140625" style="1"/>
    <col min="10501" max="10501" width="10.5703125" style="1" customWidth="1"/>
    <col min="10502" max="10502" width="11.42578125" style="1" customWidth="1"/>
    <col min="10503" max="10503" width="12.85546875" style="1" customWidth="1"/>
    <col min="10504" max="10504" width="18.85546875" style="1" customWidth="1"/>
    <col min="10505" max="10505" width="12" style="1" customWidth="1"/>
    <col min="10506" max="10506" width="13" style="1" customWidth="1"/>
    <col min="10507" max="10507" width="15.140625" style="1" customWidth="1"/>
    <col min="10508" max="10753" width="9.140625" style="1"/>
    <col min="10754" max="10754" width="11" style="1" customWidth="1"/>
    <col min="10755" max="10755" width="11.140625" style="1" customWidth="1"/>
    <col min="10756" max="10756" width="9.140625" style="1"/>
    <col min="10757" max="10757" width="10.5703125" style="1" customWidth="1"/>
    <col min="10758" max="10758" width="11.42578125" style="1" customWidth="1"/>
    <col min="10759" max="10759" width="12.85546875" style="1" customWidth="1"/>
    <col min="10760" max="10760" width="18.85546875" style="1" customWidth="1"/>
    <col min="10761" max="10761" width="12" style="1" customWidth="1"/>
    <col min="10762" max="10762" width="13" style="1" customWidth="1"/>
    <col min="10763" max="10763" width="15.140625" style="1" customWidth="1"/>
    <col min="10764" max="11009" width="9.140625" style="1"/>
    <col min="11010" max="11010" width="11" style="1" customWidth="1"/>
    <col min="11011" max="11011" width="11.140625" style="1" customWidth="1"/>
    <col min="11012" max="11012" width="9.140625" style="1"/>
    <col min="11013" max="11013" width="10.5703125" style="1" customWidth="1"/>
    <col min="11014" max="11014" width="11.42578125" style="1" customWidth="1"/>
    <col min="11015" max="11015" width="12.85546875" style="1" customWidth="1"/>
    <col min="11016" max="11016" width="18.85546875" style="1" customWidth="1"/>
    <col min="11017" max="11017" width="12" style="1" customWidth="1"/>
    <col min="11018" max="11018" width="13" style="1" customWidth="1"/>
    <col min="11019" max="11019" width="15.140625" style="1" customWidth="1"/>
    <col min="11020" max="11265" width="9.140625" style="1"/>
    <col min="11266" max="11266" width="11" style="1" customWidth="1"/>
    <col min="11267" max="11267" width="11.140625" style="1" customWidth="1"/>
    <col min="11268" max="11268" width="9.140625" style="1"/>
    <col min="11269" max="11269" width="10.5703125" style="1" customWidth="1"/>
    <col min="11270" max="11270" width="11.42578125" style="1" customWidth="1"/>
    <col min="11271" max="11271" width="12.85546875" style="1" customWidth="1"/>
    <col min="11272" max="11272" width="18.85546875" style="1" customWidth="1"/>
    <col min="11273" max="11273" width="12" style="1" customWidth="1"/>
    <col min="11274" max="11274" width="13" style="1" customWidth="1"/>
    <col min="11275" max="11275" width="15.140625" style="1" customWidth="1"/>
    <col min="11276" max="11521" width="9.140625" style="1"/>
    <col min="11522" max="11522" width="11" style="1" customWidth="1"/>
    <col min="11523" max="11523" width="11.140625" style="1" customWidth="1"/>
    <col min="11524" max="11524" width="9.140625" style="1"/>
    <col min="11525" max="11525" width="10.5703125" style="1" customWidth="1"/>
    <col min="11526" max="11526" width="11.42578125" style="1" customWidth="1"/>
    <col min="11527" max="11527" width="12.85546875" style="1" customWidth="1"/>
    <col min="11528" max="11528" width="18.85546875" style="1" customWidth="1"/>
    <col min="11529" max="11529" width="12" style="1" customWidth="1"/>
    <col min="11530" max="11530" width="13" style="1" customWidth="1"/>
    <col min="11531" max="11531" width="15.140625" style="1" customWidth="1"/>
    <col min="11532" max="11777" width="9.140625" style="1"/>
    <col min="11778" max="11778" width="11" style="1" customWidth="1"/>
    <col min="11779" max="11779" width="11.140625" style="1" customWidth="1"/>
    <col min="11780" max="11780" width="9.140625" style="1"/>
    <col min="11781" max="11781" width="10.5703125" style="1" customWidth="1"/>
    <col min="11782" max="11782" width="11.42578125" style="1" customWidth="1"/>
    <col min="11783" max="11783" width="12.85546875" style="1" customWidth="1"/>
    <col min="11784" max="11784" width="18.85546875" style="1" customWidth="1"/>
    <col min="11785" max="11785" width="12" style="1" customWidth="1"/>
    <col min="11786" max="11786" width="13" style="1" customWidth="1"/>
    <col min="11787" max="11787" width="15.140625" style="1" customWidth="1"/>
    <col min="11788" max="12033" width="9.140625" style="1"/>
    <col min="12034" max="12034" width="11" style="1" customWidth="1"/>
    <col min="12035" max="12035" width="11.140625" style="1" customWidth="1"/>
    <col min="12036" max="12036" width="9.140625" style="1"/>
    <col min="12037" max="12037" width="10.5703125" style="1" customWidth="1"/>
    <col min="12038" max="12038" width="11.42578125" style="1" customWidth="1"/>
    <col min="12039" max="12039" width="12.85546875" style="1" customWidth="1"/>
    <col min="12040" max="12040" width="18.85546875" style="1" customWidth="1"/>
    <col min="12041" max="12041" width="12" style="1" customWidth="1"/>
    <col min="12042" max="12042" width="13" style="1" customWidth="1"/>
    <col min="12043" max="12043" width="15.140625" style="1" customWidth="1"/>
    <col min="12044" max="12289" width="9.140625" style="1"/>
    <col min="12290" max="12290" width="11" style="1" customWidth="1"/>
    <col min="12291" max="12291" width="11.140625" style="1" customWidth="1"/>
    <col min="12292" max="12292" width="9.140625" style="1"/>
    <col min="12293" max="12293" width="10.5703125" style="1" customWidth="1"/>
    <col min="12294" max="12294" width="11.42578125" style="1" customWidth="1"/>
    <col min="12295" max="12295" width="12.85546875" style="1" customWidth="1"/>
    <col min="12296" max="12296" width="18.85546875" style="1" customWidth="1"/>
    <col min="12297" max="12297" width="12" style="1" customWidth="1"/>
    <col min="12298" max="12298" width="13" style="1" customWidth="1"/>
    <col min="12299" max="12299" width="15.140625" style="1" customWidth="1"/>
    <col min="12300" max="12545" width="9.140625" style="1"/>
    <col min="12546" max="12546" width="11" style="1" customWidth="1"/>
    <col min="12547" max="12547" width="11.140625" style="1" customWidth="1"/>
    <col min="12548" max="12548" width="9.140625" style="1"/>
    <col min="12549" max="12549" width="10.5703125" style="1" customWidth="1"/>
    <col min="12550" max="12550" width="11.42578125" style="1" customWidth="1"/>
    <col min="12551" max="12551" width="12.85546875" style="1" customWidth="1"/>
    <col min="12552" max="12552" width="18.85546875" style="1" customWidth="1"/>
    <col min="12553" max="12553" width="12" style="1" customWidth="1"/>
    <col min="12554" max="12554" width="13" style="1" customWidth="1"/>
    <col min="12555" max="12555" width="15.140625" style="1" customWidth="1"/>
    <col min="12556" max="12801" width="9.140625" style="1"/>
    <col min="12802" max="12802" width="11" style="1" customWidth="1"/>
    <col min="12803" max="12803" width="11.140625" style="1" customWidth="1"/>
    <col min="12804" max="12804" width="9.140625" style="1"/>
    <col min="12805" max="12805" width="10.5703125" style="1" customWidth="1"/>
    <col min="12806" max="12806" width="11.42578125" style="1" customWidth="1"/>
    <col min="12807" max="12807" width="12.85546875" style="1" customWidth="1"/>
    <col min="12808" max="12808" width="18.85546875" style="1" customWidth="1"/>
    <col min="12809" max="12809" width="12" style="1" customWidth="1"/>
    <col min="12810" max="12810" width="13" style="1" customWidth="1"/>
    <col min="12811" max="12811" width="15.140625" style="1" customWidth="1"/>
    <col min="12812" max="13057" width="9.140625" style="1"/>
    <col min="13058" max="13058" width="11" style="1" customWidth="1"/>
    <col min="13059" max="13059" width="11.140625" style="1" customWidth="1"/>
    <col min="13060" max="13060" width="9.140625" style="1"/>
    <col min="13061" max="13061" width="10.5703125" style="1" customWidth="1"/>
    <col min="13062" max="13062" width="11.42578125" style="1" customWidth="1"/>
    <col min="13063" max="13063" width="12.85546875" style="1" customWidth="1"/>
    <col min="13064" max="13064" width="18.85546875" style="1" customWidth="1"/>
    <col min="13065" max="13065" width="12" style="1" customWidth="1"/>
    <col min="13066" max="13066" width="13" style="1" customWidth="1"/>
    <col min="13067" max="13067" width="15.140625" style="1" customWidth="1"/>
    <col min="13068" max="13313" width="9.140625" style="1"/>
    <col min="13314" max="13314" width="11" style="1" customWidth="1"/>
    <col min="13315" max="13315" width="11.140625" style="1" customWidth="1"/>
    <col min="13316" max="13316" width="9.140625" style="1"/>
    <col min="13317" max="13317" width="10.5703125" style="1" customWidth="1"/>
    <col min="13318" max="13318" width="11.42578125" style="1" customWidth="1"/>
    <col min="13319" max="13319" width="12.85546875" style="1" customWidth="1"/>
    <col min="13320" max="13320" width="18.85546875" style="1" customWidth="1"/>
    <col min="13321" max="13321" width="12" style="1" customWidth="1"/>
    <col min="13322" max="13322" width="13" style="1" customWidth="1"/>
    <col min="13323" max="13323" width="15.140625" style="1" customWidth="1"/>
    <col min="13324" max="13569" width="9.140625" style="1"/>
    <col min="13570" max="13570" width="11" style="1" customWidth="1"/>
    <col min="13571" max="13571" width="11.140625" style="1" customWidth="1"/>
    <col min="13572" max="13572" width="9.140625" style="1"/>
    <col min="13573" max="13573" width="10.5703125" style="1" customWidth="1"/>
    <col min="13574" max="13574" width="11.42578125" style="1" customWidth="1"/>
    <col min="13575" max="13575" width="12.85546875" style="1" customWidth="1"/>
    <col min="13576" max="13576" width="18.85546875" style="1" customWidth="1"/>
    <col min="13577" max="13577" width="12" style="1" customWidth="1"/>
    <col min="13578" max="13578" width="13" style="1" customWidth="1"/>
    <col min="13579" max="13579" width="15.140625" style="1" customWidth="1"/>
    <col min="13580" max="13825" width="9.140625" style="1"/>
    <col min="13826" max="13826" width="11" style="1" customWidth="1"/>
    <col min="13827" max="13827" width="11.140625" style="1" customWidth="1"/>
    <col min="13828" max="13828" width="9.140625" style="1"/>
    <col min="13829" max="13829" width="10.5703125" style="1" customWidth="1"/>
    <col min="13830" max="13830" width="11.42578125" style="1" customWidth="1"/>
    <col min="13831" max="13831" width="12.85546875" style="1" customWidth="1"/>
    <col min="13832" max="13832" width="18.85546875" style="1" customWidth="1"/>
    <col min="13833" max="13833" width="12" style="1" customWidth="1"/>
    <col min="13834" max="13834" width="13" style="1" customWidth="1"/>
    <col min="13835" max="13835" width="15.140625" style="1" customWidth="1"/>
    <col min="13836" max="14081" width="9.140625" style="1"/>
    <col min="14082" max="14082" width="11" style="1" customWidth="1"/>
    <col min="14083" max="14083" width="11.140625" style="1" customWidth="1"/>
    <col min="14084" max="14084" width="9.140625" style="1"/>
    <col min="14085" max="14085" width="10.5703125" style="1" customWidth="1"/>
    <col min="14086" max="14086" width="11.42578125" style="1" customWidth="1"/>
    <col min="14087" max="14087" width="12.85546875" style="1" customWidth="1"/>
    <col min="14088" max="14088" width="18.85546875" style="1" customWidth="1"/>
    <col min="14089" max="14089" width="12" style="1" customWidth="1"/>
    <col min="14090" max="14090" width="13" style="1" customWidth="1"/>
    <col min="14091" max="14091" width="15.140625" style="1" customWidth="1"/>
    <col min="14092" max="14337" width="9.140625" style="1"/>
    <col min="14338" max="14338" width="11" style="1" customWidth="1"/>
    <col min="14339" max="14339" width="11.140625" style="1" customWidth="1"/>
    <col min="14340" max="14340" width="9.140625" style="1"/>
    <col min="14341" max="14341" width="10.5703125" style="1" customWidth="1"/>
    <col min="14342" max="14342" width="11.42578125" style="1" customWidth="1"/>
    <col min="14343" max="14343" width="12.85546875" style="1" customWidth="1"/>
    <col min="14344" max="14344" width="18.85546875" style="1" customWidth="1"/>
    <col min="14345" max="14345" width="12" style="1" customWidth="1"/>
    <col min="14346" max="14346" width="13" style="1" customWidth="1"/>
    <col min="14347" max="14347" width="15.140625" style="1" customWidth="1"/>
    <col min="14348" max="14593" width="9.140625" style="1"/>
    <col min="14594" max="14594" width="11" style="1" customWidth="1"/>
    <col min="14595" max="14595" width="11.140625" style="1" customWidth="1"/>
    <col min="14596" max="14596" width="9.140625" style="1"/>
    <col min="14597" max="14597" width="10.5703125" style="1" customWidth="1"/>
    <col min="14598" max="14598" width="11.42578125" style="1" customWidth="1"/>
    <col min="14599" max="14599" width="12.85546875" style="1" customWidth="1"/>
    <col min="14600" max="14600" width="18.85546875" style="1" customWidth="1"/>
    <col min="14601" max="14601" width="12" style="1" customWidth="1"/>
    <col min="14602" max="14602" width="13" style="1" customWidth="1"/>
    <col min="14603" max="14603" width="15.140625" style="1" customWidth="1"/>
    <col min="14604" max="14849" width="9.140625" style="1"/>
    <col min="14850" max="14850" width="11" style="1" customWidth="1"/>
    <col min="14851" max="14851" width="11.140625" style="1" customWidth="1"/>
    <col min="14852" max="14852" width="9.140625" style="1"/>
    <col min="14853" max="14853" width="10.5703125" style="1" customWidth="1"/>
    <col min="14854" max="14854" width="11.42578125" style="1" customWidth="1"/>
    <col min="14855" max="14855" width="12.85546875" style="1" customWidth="1"/>
    <col min="14856" max="14856" width="18.85546875" style="1" customWidth="1"/>
    <col min="14857" max="14857" width="12" style="1" customWidth="1"/>
    <col min="14858" max="14858" width="13" style="1" customWidth="1"/>
    <col min="14859" max="14859" width="15.140625" style="1" customWidth="1"/>
    <col min="14860" max="15105" width="9.140625" style="1"/>
    <col min="15106" max="15106" width="11" style="1" customWidth="1"/>
    <col min="15107" max="15107" width="11.140625" style="1" customWidth="1"/>
    <col min="15108" max="15108" width="9.140625" style="1"/>
    <col min="15109" max="15109" width="10.5703125" style="1" customWidth="1"/>
    <col min="15110" max="15110" width="11.42578125" style="1" customWidth="1"/>
    <col min="15111" max="15111" width="12.85546875" style="1" customWidth="1"/>
    <col min="15112" max="15112" width="18.85546875" style="1" customWidth="1"/>
    <col min="15113" max="15113" width="12" style="1" customWidth="1"/>
    <col min="15114" max="15114" width="13" style="1" customWidth="1"/>
    <col min="15115" max="15115" width="15.140625" style="1" customWidth="1"/>
    <col min="15116" max="15361" width="9.140625" style="1"/>
    <col min="15362" max="15362" width="11" style="1" customWidth="1"/>
    <col min="15363" max="15363" width="11.140625" style="1" customWidth="1"/>
    <col min="15364" max="15364" width="9.140625" style="1"/>
    <col min="15365" max="15365" width="10.5703125" style="1" customWidth="1"/>
    <col min="15366" max="15366" width="11.42578125" style="1" customWidth="1"/>
    <col min="15367" max="15367" width="12.85546875" style="1" customWidth="1"/>
    <col min="15368" max="15368" width="18.85546875" style="1" customWidth="1"/>
    <col min="15369" max="15369" width="12" style="1" customWidth="1"/>
    <col min="15370" max="15370" width="13" style="1" customWidth="1"/>
    <col min="15371" max="15371" width="15.140625" style="1" customWidth="1"/>
    <col min="15372" max="15617" width="9.140625" style="1"/>
    <col min="15618" max="15618" width="11" style="1" customWidth="1"/>
    <col min="15619" max="15619" width="11.140625" style="1" customWidth="1"/>
    <col min="15620" max="15620" width="9.140625" style="1"/>
    <col min="15621" max="15621" width="10.5703125" style="1" customWidth="1"/>
    <col min="15622" max="15622" width="11.42578125" style="1" customWidth="1"/>
    <col min="15623" max="15623" width="12.85546875" style="1" customWidth="1"/>
    <col min="15624" max="15624" width="18.85546875" style="1" customWidth="1"/>
    <col min="15625" max="15625" width="12" style="1" customWidth="1"/>
    <col min="15626" max="15626" width="13" style="1" customWidth="1"/>
    <col min="15627" max="15627" width="15.140625" style="1" customWidth="1"/>
    <col min="15628" max="15873" width="9.140625" style="1"/>
    <col min="15874" max="15874" width="11" style="1" customWidth="1"/>
    <col min="15875" max="15875" width="11.140625" style="1" customWidth="1"/>
    <col min="15876" max="15876" width="9.140625" style="1"/>
    <col min="15877" max="15877" width="10.5703125" style="1" customWidth="1"/>
    <col min="15878" max="15878" width="11.42578125" style="1" customWidth="1"/>
    <col min="15879" max="15879" width="12.85546875" style="1" customWidth="1"/>
    <col min="15880" max="15880" width="18.85546875" style="1" customWidth="1"/>
    <col min="15881" max="15881" width="12" style="1" customWidth="1"/>
    <col min="15882" max="15882" width="13" style="1" customWidth="1"/>
    <col min="15883" max="15883" width="15.140625" style="1" customWidth="1"/>
    <col min="15884" max="16129" width="9.140625" style="1"/>
    <col min="16130" max="16130" width="11" style="1" customWidth="1"/>
    <col min="16131" max="16131" width="11.140625" style="1" customWidth="1"/>
    <col min="16132" max="16132" width="9.140625" style="1"/>
    <col min="16133" max="16133" width="10.5703125" style="1" customWidth="1"/>
    <col min="16134" max="16134" width="11.42578125" style="1" customWidth="1"/>
    <col min="16135" max="16135" width="12.85546875" style="1" customWidth="1"/>
    <col min="16136" max="16136" width="18.85546875" style="1" customWidth="1"/>
    <col min="16137" max="16137" width="12" style="1" customWidth="1"/>
    <col min="16138" max="16138" width="13" style="1" customWidth="1"/>
    <col min="16139" max="16139" width="15.140625" style="1" customWidth="1"/>
    <col min="16140" max="16384" width="9.140625" style="1"/>
  </cols>
  <sheetData>
    <row r="1" spans="1:11" ht="57.75" customHeight="1">
      <c r="A1" s="3291"/>
      <c r="B1" s="3291"/>
      <c r="C1" s="3292"/>
      <c r="D1" s="3291"/>
      <c r="E1" s="3291"/>
      <c r="F1" s="3291"/>
      <c r="G1" s="3420" t="s">
        <v>1231</v>
      </c>
      <c r="H1" s="3420"/>
      <c r="I1" s="3420"/>
      <c r="J1" s="3420"/>
      <c r="K1" s="3420"/>
    </row>
    <row r="2" spans="1:11" ht="59.25" customHeight="1">
      <c r="A2" s="3258" t="s">
        <v>1001</v>
      </c>
      <c r="B2" s="3258"/>
      <c r="C2" s="3258"/>
      <c r="D2" s="3258"/>
      <c r="E2" s="3258"/>
      <c r="F2" s="3258"/>
      <c r="G2" s="3258"/>
      <c r="H2" s="3258"/>
      <c r="I2" s="3258"/>
      <c r="J2" s="3258"/>
      <c r="K2" s="3258"/>
    </row>
    <row r="3" spans="1:11" ht="19.5" customHeight="1" thickBot="1">
      <c r="A3" s="341"/>
      <c r="B3" s="341"/>
      <c r="C3" s="341"/>
      <c r="D3" s="341"/>
      <c r="E3" s="341"/>
      <c r="F3" s="2221"/>
      <c r="G3" s="2221"/>
      <c r="H3" s="2221"/>
      <c r="I3" s="2221"/>
      <c r="J3" s="2221"/>
      <c r="K3" s="2222" t="s">
        <v>9</v>
      </c>
    </row>
    <row r="4" spans="1:11" ht="38.25" customHeight="1" thickBot="1">
      <c r="A4" s="3421" t="s">
        <v>1002</v>
      </c>
      <c r="B4" s="3422"/>
      <c r="C4" s="3422"/>
      <c r="D4" s="3422"/>
      <c r="E4" s="3422"/>
      <c r="F4" s="3422"/>
      <c r="G4" s="3422"/>
      <c r="H4" s="3422"/>
      <c r="I4" s="3422"/>
      <c r="J4" s="3422"/>
      <c r="K4" s="3423"/>
    </row>
    <row r="5" spans="1:11" ht="23.25" customHeight="1" thickBot="1">
      <c r="A5" s="808" t="s">
        <v>0</v>
      </c>
      <c r="B5" s="808" t="s">
        <v>1003</v>
      </c>
      <c r="C5" s="343" t="s">
        <v>3</v>
      </c>
      <c r="D5" s="3424" t="s">
        <v>51</v>
      </c>
      <c r="E5" s="3425"/>
      <c r="F5" s="3425"/>
      <c r="G5" s="3425"/>
      <c r="H5" s="3425"/>
      <c r="I5" s="3426"/>
      <c r="J5" s="3328" t="s">
        <v>1004</v>
      </c>
      <c r="K5" s="3326"/>
    </row>
    <row r="6" spans="1:11" ht="14.1" customHeight="1">
      <c r="A6" s="3406">
        <v>855</v>
      </c>
      <c r="B6" s="2223"/>
      <c r="C6" s="3409" t="s">
        <v>467</v>
      </c>
      <c r="D6" s="3409"/>
      <c r="E6" s="3409"/>
      <c r="F6" s="3409"/>
      <c r="G6" s="3409"/>
      <c r="H6" s="3409"/>
      <c r="I6" s="3410"/>
      <c r="J6" s="3411">
        <f>SUM(J7)</f>
        <v>2407632</v>
      </c>
      <c r="K6" s="3412"/>
    </row>
    <row r="7" spans="1:11" ht="14.1" customHeight="1">
      <c r="A7" s="3407"/>
      <c r="B7" s="3413">
        <v>85510</v>
      </c>
      <c r="C7" s="3415" t="s">
        <v>929</v>
      </c>
      <c r="D7" s="3415"/>
      <c r="E7" s="3415"/>
      <c r="F7" s="3415"/>
      <c r="G7" s="3415"/>
      <c r="H7" s="3415"/>
      <c r="I7" s="3416"/>
      <c r="J7" s="3417">
        <f>SUM(J8)</f>
        <v>2407632</v>
      </c>
      <c r="K7" s="3397"/>
    </row>
    <row r="8" spans="1:11" ht="19.5" customHeight="1" thickBot="1">
      <c r="A8" s="3408"/>
      <c r="B8" s="3414"/>
      <c r="C8" s="2224">
        <v>2320</v>
      </c>
      <c r="D8" s="3418"/>
      <c r="E8" s="3418"/>
      <c r="F8" s="3418"/>
      <c r="G8" s="3418"/>
      <c r="H8" s="3418"/>
      <c r="I8" s="3419"/>
      <c r="J8" s="3404">
        <v>2407632</v>
      </c>
      <c r="K8" s="3405"/>
    </row>
    <row r="9" spans="1:11" ht="15">
      <c r="A9" s="3383" t="s">
        <v>5</v>
      </c>
      <c r="B9" s="3387" t="s">
        <v>495</v>
      </c>
      <c r="C9" s="3388"/>
      <c r="D9" s="3388"/>
      <c r="E9" s="3388"/>
      <c r="F9" s="3388"/>
      <c r="G9" s="3388"/>
      <c r="H9" s="3388"/>
      <c r="I9" s="3389"/>
      <c r="J9" s="3390">
        <f>SUM(J10)</f>
        <v>3913000</v>
      </c>
      <c r="K9" s="3391"/>
    </row>
    <row r="10" spans="1:11" ht="14.25">
      <c r="A10" s="3384"/>
      <c r="B10" s="3392" t="s">
        <v>958</v>
      </c>
      <c r="C10" s="3394" t="s">
        <v>959</v>
      </c>
      <c r="D10" s="3394"/>
      <c r="E10" s="3394"/>
      <c r="F10" s="3394"/>
      <c r="G10" s="3394"/>
      <c r="H10" s="3394"/>
      <c r="I10" s="3395"/>
      <c r="J10" s="3396">
        <f>SUM(J11:K12)</f>
        <v>3913000</v>
      </c>
      <c r="K10" s="3397"/>
    </row>
    <row r="11" spans="1:11" ht="15">
      <c r="A11" s="3385"/>
      <c r="B11" s="3392"/>
      <c r="C11" s="2225">
        <v>2310</v>
      </c>
      <c r="D11" s="3398"/>
      <c r="E11" s="3398"/>
      <c r="F11" s="3398"/>
      <c r="G11" s="3398"/>
      <c r="H11" s="3398"/>
      <c r="I11" s="3399"/>
      <c r="J11" s="3400">
        <v>3840000</v>
      </c>
      <c r="K11" s="3401"/>
    </row>
    <row r="12" spans="1:11" ht="15.75" thickBot="1">
      <c r="A12" s="3386"/>
      <c r="B12" s="3393"/>
      <c r="C12" s="2226">
        <v>2320</v>
      </c>
      <c r="D12" s="3402"/>
      <c r="E12" s="3402"/>
      <c r="F12" s="3402"/>
      <c r="G12" s="3402"/>
      <c r="H12" s="3402"/>
      <c r="I12" s="3403"/>
      <c r="J12" s="3404">
        <v>73000</v>
      </c>
      <c r="K12" s="3405"/>
    </row>
    <row r="13" spans="1:11" ht="16.5" thickBot="1">
      <c r="A13" s="3364" t="s">
        <v>510</v>
      </c>
      <c r="B13" s="3365"/>
      <c r="C13" s="3365"/>
      <c r="D13" s="3365"/>
      <c r="E13" s="3365"/>
      <c r="F13" s="3365"/>
      <c r="G13" s="3365"/>
      <c r="H13" s="3365"/>
      <c r="I13" s="3366"/>
      <c r="J13" s="3367">
        <f>J9+J6</f>
        <v>6320632</v>
      </c>
      <c r="K13" s="3368"/>
    </row>
    <row r="14" spans="1:11" ht="11.25" customHeight="1">
      <c r="A14" s="2227"/>
      <c r="B14" s="2227"/>
      <c r="C14" s="2228"/>
      <c r="D14" s="2229"/>
      <c r="E14" s="2229"/>
      <c r="F14" s="2230"/>
      <c r="G14" s="2231"/>
      <c r="H14" s="2232"/>
      <c r="I14" s="2232"/>
      <c r="J14" s="2232"/>
      <c r="K14" s="2232"/>
    </row>
    <row r="15" spans="1:11" ht="15.75" thickBot="1">
      <c r="A15" s="2233"/>
      <c r="B15" s="2233"/>
      <c r="C15" s="2234"/>
      <c r="D15" s="2235"/>
      <c r="E15" s="2235"/>
      <c r="F15" s="2235"/>
      <c r="G15" s="2235"/>
      <c r="H15" s="2235"/>
      <c r="I15" s="2235"/>
      <c r="J15" s="2234"/>
      <c r="K15" s="2236" t="s">
        <v>9</v>
      </c>
    </row>
    <row r="16" spans="1:11" ht="37.5" customHeight="1" thickBot="1">
      <c r="A16" s="3369" t="s">
        <v>1005</v>
      </c>
      <c r="B16" s="3370"/>
      <c r="C16" s="3370"/>
      <c r="D16" s="3370"/>
      <c r="E16" s="3370"/>
      <c r="F16" s="3370"/>
      <c r="G16" s="3370"/>
      <c r="H16" s="3370"/>
      <c r="I16" s="3370"/>
      <c r="J16" s="3370"/>
      <c r="K16" s="3371"/>
    </row>
    <row r="17" spans="1:11" ht="15">
      <c r="A17" s="3372" t="s">
        <v>0</v>
      </c>
      <c r="B17" s="3374" t="s">
        <v>1</v>
      </c>
      <c r="C17" s="3372" t="s">
        <v>51</v>
      </c>
      <c r="D17" s="3372"/>
      <c r="E17" s="3329" t="s">
        <v>3</v>
      </c>
      <c r="F17" s="3377" t="s">
        <v>1006</v>
      </c>
      <c r="G17" s="3379" t="s">
        <v>1007</v>
      </c>
      <c r="H17" s="3380" t="s">
        <v>2</v>
      </c>
      <c r="I17" s="3381"/>
      <c r="J17" s="3382"/>
      <c r="K17" s="3348" t="s">
        <v>1008</v>
      </c>
    </row>
    <row r="18" spans="1:11" ht="44.1" customHeight="1" thickBot="1">
      <c r="A18" s="3373"/>
      <c r="B18" s="3375"/>
      <c r="C18" s="3373"/>
      <c r="D18" s="3373"/>
      <c r="E18" s="3376"/>
      <c r="F18" s="3378"/>
      <c r="G18" s="3373"/>
      <c r="H18" s="2237" t="s">
        <v>1009</v>
      </c>
      <c r="I18" s="2238" t="s">
        <v>860</v>
      </c>
      <c r="J18" s="2239" t="s">
        <v>1010</v>
      </c>
      <c r="K18" s="3349"/>
    </row>
    <row r="19" spans="1:11" ht="15" customHeight="1">
      <c r="A19" s="3350">
        <v>855</v>
      </c>
      <c r="B19" s="3352" t="s">
        <v>467</v>
      </c>
      <c r="C19" s="3353"/>
      <c r="D19" s="3353"/>
      <c r="E19" s="3354"/>
      <c r="F19" s="2240">
        <f t="shared" ref="F19:K19" si="0">F20</f>
        <v>2407632</v>
      </c>
      <c r="G19" s="2241">
        <f t="shared" si="0"/>
        <v>2407632</v>
      </c>
      <c r="H19" s="2242">
        <f t="shared" si="0"/>
        <v>0</v>
      </c>
      <c r="I19" s="2243">
        <f t="shared" si="0"/>
        <v>2407632</v>
      </c>
      <c r="J19" s="2244">
        <f t="shared" si="0"/>
        <v>0</v>
      </c>
      <c r="K19" s="2245">
        <f t="shared" si="0"/>
        <v>0</v>
      </c>
    </row>
    <row r="20" spans="1:11" ht="63.75" customHeight="1" thickBot="1">
      <c r="A20" s="3351"/>
      <c r="B20" s="2246">
        <v>85510</v>
      </c>
      <c r="C20" s="3355" t="s">
        <v>929</v>
      </c>
      <c r="D20" s="3356"/>
      <c r="E20" s="2247">
        <v>2360</v>
      </c>
      <c r="F20" s="2248">
        <f>G20+K20</f>
        <v>2407632</v>
      </c>
      <c r="G20" s="142">
        <f>H20+I20+J20</f>
        <v>2407632</v>
      </c>
      <c r="H20" s="2249">
        <v>0</v>
      </c>
      <c r="I20" s="2250">
        <v>2407632</v>
      </c>
      <c r="J20" s="2251">
        <v>0</v>
      </c>
      <c r="K20" s="2252">
        <v>0</v>
      </c>
    </row>
    <row r="21" spans="1:11" ht="30" customHeight="1">
      <c r="A21" s="3318" t="s">
        <v>5</v>
      </c>
      <c r="B21" s="3357" t="s">
        <v>1011</v>
      </c>
      <c r="C21" s="3358"/>
      <c r="D21" s="3358"/>
      <c r="E21" s="3359"/>
      <c r="F21" s="2253">
        <f t="shared" ref="F21:K21" si="1">F22+F23</f>
        <v>3913000</v>
      </c>
      <c r="G21" s="2254">
        <f t="shared" si="1"/>
        <v>3913000</v>
      </c>
      <c r="H21" s="2255">
        <f t="shared" si="1"/>
        <v>0</v>
      </c>
      <c r="I21" s="2256">
        <f t="shared" si="1"/>
        <v>3913000</v>
      </c>
      <c r="J21" s="2257">
        <f t="shared" si="1"/>
        <v>0</v>
      </c>
      <c r="K21" s="2258">
        <f t="shared" si="1"/>
        <v>0</v>
      </c>
    </row>
    <row r="22" spans="1:11" ht="21" customHeight="1">
      <c r="A22" s="3318"/>
      <c r="B22" s="3360" t="s">
        <v>958</v>
      </c>
      <c r="C22" s="3362" t="s">
        <v>959</v>
      </c>
      <c r="D22" s="3362"/>
      <c r="E22" s="2259">
        <v>2480</v>
      </c>
      <c r="F22" s="2260">
        <f>G22+K22</f>
        <v>3840000</v>
      </c>
      <c r="G22" s="2261">
        <f>H22+I22+J22</f>
        <v>3840000</v>
      </c>
      <c r="H22" s="2206">
        <v>0</v>
      </c>
      <c r="I22" s="2207">
        <v>3840000</v>
      </c>
      <c r="J22" s="2262">
        <v>0</v>
      </c>
      <c r="K22" s="2263">
        <v>0</v>
      </c>
    </row>
    <row r="23" spans="1:11" ht="21" customHeight="1" thickBot="1">
      <c r="A23" s="3286"/>
      <c r="B23" s="3361"/>
      <c r="C23" s="3363"/>
      <c r="D23" s="3363"/>
      <c r="E23" s="2259">
        <v>2800</v>
      </c>
      <c r="F23" s="2260">
        <f>G23+K23</f>
        <v>73000</v>
      </c>
      <c r="G23" s="2261">
        <f>H23+I23+J23</f>
        <v>73000</v>
      </c>
      <c r="H23" s="2206">
        <v>0</v>
      </c>
      <c r="I23" s="2207">
        <v>73000</v>
      </c>
      <c r="J23" s="2262">
        <v>0</v>
      </c>
      <c r="K23" s="2263">
        <v>0</v>
      </c>
    </row>
    <row r="24" spans="1:11" ht="22.5" customHeight="1" thickBot="1">
      <c r="A24" s="3344" t="s">
        <v>48</v>
      </c>
      <c r="B24" s="3347"/>
      <c r="C24" s="3347"/>
      <c r="D24" s="3347"/>
      <c r="E24" s="3347"/>
      <c r="F24" s="2219">
        <f t="shared" ref="F24:K24" si="2">F21+F19</f>
        <v>6320632</v>
      </c>
      <c r="G24" s="2218">
        <f t="shared" si="2"/>
        <v>6320632</v>
      </c>
      <c r="H24" s="2264">
        <f t="shared" si="2"/>
        <v>0</v>
      </c>
      <c r="I24" s="2218">
        <f t="shared" si="2"/>
        <v>6320632</v>
      </c>
      <c r="J24" s="2218">
        <f t="shared" si="2"/>
        <v>0</v>
      </c>
      <c r="K24" s="2264">
        <f t="shared" si="2"/>
        <v>0</v>
      </c>
    </row>
    <row r="29" spans="1:11">
      <c r="E29" s="37"/>
    </row>
  </sheetData>
  <mergeCells count="43">
    <mergeCell ref="A1:F1"/>
    <mergeCell ref="G1:K1"/>
    <mergeCell ref="A2:K2"/>
    <mergeCell ref="A4:K4"/>
    <mergeCell ref="D5:I5"/>
    <mergeCell ref="J5:K5"/>
    <mergeCell ref="A6:A8"/>
    <mergeCell ref="C6:I6"/>
    <mergeCell ref="J6:K6"/>
    <mergeCell ref="B7:B8"/>
    <mergeCell ref="C7:I7"/>
    <mergeCell ref="J7:K7"/>
    <mergeCell ref="D8:I8"/>
    <mergeCell ref="J8:K8"/>
    <mergeCell ref="A9:A12"/>
    <mergeCell ref="B9:I9"/>
    <mergeCell ref="J9:K9"/>
    <mergeCell ref="B10:B12"/>
    <mergeCell ref="C10:I10"/>
    <mergeCell ref="J10:K10"/>
    <mergeCell ref="D11:I11"/>
    <mergeCell ref="J11:K11"/>
    <mergeCell ref="D12:I12"/>
    <mergeCell ref="J12:K12"/>
    <mergeCell ref="A13:I13"/>
    <mergeCell ref="J13:K13"/>
    <mergeCell ref="A16:K16"/>
    <mergeCell ref="A17:A18"/>
    <mergeCell ref="B17:B18"/>
    <mergeCell ref="C17:D18"/>
    <mergeCell ref="E17:E18"/>
    <mergeCell ref="F17:F18"/>
    <mergeCell ref="G17:G18"/>
    <mergeCell ref="H17:J17"/>
    <mergeCell ref="A24:E24"/>
    <mergeCell ref="K17:K18"/>
    <mergeCell ref="A19:A20"/>
    <mergeCell ref="B19:E19"/>
    <mergeCell ref="C20:D20"/>
    <mergeCell ref="A21:A23"/>
    <mergeCell ref="B21:E21"/>
    <mergeCell ref="B22:B23"/>
    <mergeCell ref="C22:D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5"/>
  <sheetViews>
    <sheetView view="pageBreakPreview" zoomScaleSheetLayoutView="100" workbookViewId="0">
      <selection activeCell="I3" sqref="I3"/>
    </sheetView>
  </sheetViews>
  <sheetFormatPr defaultRowHeight="12.75"/>
  <cols>
    <col min="1" max="6" width="12.7109375" style="1" customWidth="1"/>
    <col min="7" max="7" width="60.7109375" style="1" customWidth="1"/>
    <col min="8" max="8" width="10.140625" style="1" bestFit="1" customWidth="1"/>
    <col min="9" max="9" width="10.7109375" style="1" bestFit="1" customWidth="1"/>
    <col min="10" max="256" width="9.140625" style="1"/>
    <col min="257" max="257" width="7.7109375" style="1" customWidth="1"/>
    <col min="258" max="258" width="10.5703125" style="1" customWidth="1"/>
    <col min="259" max="259" width="11.140625" style="1" bestFit="1" customWidth="1"/>
    <col min="260" max="260" width="22.140625" style="1" bestFit="1" customWidth="1"/>
    <col min="261" max="261" width="12.28515625" style="1" customWidth="1"/>
    <col min="262" max="262" width="12.5703125" style="1" customWidth="1"/>
    <col min="263" max="263" width="12.140625" style="1" customWidth="1"/>
    <col min="264" max="264" width="19.7109375" style="1" customWidth="1"/>
    <col min="265" max="512" width="9.140625" style="1"/>
    <col min="513" max="513" width="7.7109375" style="1" customWidth="1"/>
    <col min="514" max="514" width="10.5703125" style="1" customWidth="1"/>
    <col min="515" max="515" width="11.140625" style="1" bestFit="1" customWidth="1"/>
    <col min="516" max="516" width="22.140625" style="1" bestFit="1" customWidth="1"/>
    <col min="517" max="517" width="12.28515625" style="1" customWidth="1"/>
    <col min="518" max="518" width="12.5703125" style="1" customWidth="1"/>
    <col min="519" max="519" width="12.140625" style="1" customWidth="1"/>
    <col min="520" max="520" width="19.7109375" style="1" customWidth="1"/>
    <col min="521" max="768" width="9.140625" style="1"/>
    <col min="769" max="769" width="7.7109375" style="1" customWidth="1"/>
    <col min="770" max="770" width="10.5703125" style="1" customWidth="1"/>
    <col min="771" max="771" width="11.140625" style="1" bestFit="1" customWidth="1"/>
    <col min="772" max="772" width="22.140625" style="1" bestFit="1" customWidth="1"/>
    <col min="773" max="773" width="12.28515625" style="1" customWidth="1"/>
    <col min="774" max="774" width="12.5703125" style="1" customWidth="1"/>
    <col min="775" max="775" width="12.140625" style="1" customWidth="1"/>
    <col min="776" max="776" width="19.7109375" style="1" customWidth="1"/>
    <col min="777" max="1024" width="9.140625" style="1"/>
    <col min="1025" max="1025" width="7.7109375" style="1" customWidth="1"/>
    <col min="1026" max="1026" width="10.5703125" style="1" customWidth="1"/>
    <col min="1027" max="1027" width="11.140625" style="1" bestFit="1" customWidth="1"/>
    <col min="1028" max="1028" width="22.140625" style="1" bestFit="1" customWidth="1"/>
    <col min="1029" max="1029" width="12.28515625" style="1" customWidth="1"/>
    <col min="1030" max="1030" width="12.5703125" style="1" customWidth="1"/>
    <col min="1031" max="1031" width="12.140625" style="1" customWidth="1"/>
    <col min="1032" max="1032" width="19.7109375" style="1" customWidth="1"/>
    <col min="1033" max="1280" width="9.140625" style="1"/>
    <col min="1281" max="1281" width="7.7109375" style="1" customWidth="1"/>
    <col min="1282" max="1282" width="10.5703125" style="1" customWidth="1"/>
    <col min="1283" max="1283" width="11.140625" style="1" bestFit="1" customWidth="1"/>
    <col min="1284" max="1284" width="22.140625" style="1" bestFit="1" customWidth="1"/>
    <col min="1285" max="1285" width="12.28515625" style="1" customWidth="1"/>
    <col min="1286" max="1286" width="12.5703125" style="1" customWidth="1"/>
    <col min="1287" max="1287" width="12.140625" style="1" customWidth="1"/>
    <col min="1288" max="1288" width="19.7109375" style="1" customWidth="1"/>
    <col min="1289" max="1536" width="9.140625" style="1"/>
    <col min="1537" max="1537" width="7.7109375" style="1" customWidth="1"/>
    <col min="1538" max="1538" width="10.5703125" style="1" customWidth="1"/>
    <col min="1539" max="1539" width="11.140625" style="1" bestFit="1" customWidth="1"/>
    <col min="1540" max="1540" width="22.140625" style="1" bestFit="1" customWidth="1"/>
    <col min="1541" max="1541" width="12.28515625" style="1" customWidth="1"/>
    <col min="1542" max="1542" width="12.5703125" style="1" customWidth="1"/>
    <col min="1543" max="1543" width="12.140625" style="1" customWidth="1"/>
    <col min="1544" max="1544" width="19.7109375" style="1" customWidth="1"/>
    <col min="1545" max="1792" width="9.140625" style="1"/>
    <col min="1793" max="1793" width="7.7109375" style="1" customWidth="1"/>
    <col min="1794" max="1794" width="10.5703125" style="1" customWidth="1"/>
    <col min="1795" max="1795" width="11.140625" style="1" bestFit="1" customWidth="1"/>
    <col min="1796" max="1796" width="22.140625" style="1" bestFit="1" customWidth="1"/>
    <col min="1797" max="1797" width="12.28515625" style="1" customWidth="1"/>
    <col min="1798" max="1798" width="12.5703125" style="1" customWidth="1"/>
    <col min="1799" max="1799" width="12.140625" style="1" customWidth="1"/>
    <col min="1800" max="1800" width="19.7109375" style="1" customWidth="1"/>
    <col min="1801" max="2048" width="9.140625" style="1"/>
    <col min="2049" max="2049" width="7.7109375" style="1" customWidth="1"/>
    <col min="2050" max="2050" width="10.5703125" style="1" customWidth="1"/>
    <col min="2051" max="2051" width="11.140625" style="1" bestFit="1" customWidth="1"/>
    <col min="2052" max="2052" width="22.140625" style="1" bestFit="1" customWidth="1"/>
    <col min="2053" max="2053" width="12.28515625" style="1" customWidth="1"/>
    <col min="2054" max="2054" width="12.5703125" style="1" customWidth="1"/>
    <col min="2055" max="2055" width="12.140625" style="1" customWidth="1"/>
    <col min="2056" max="2056" width="19.7109375" style="1" customWidth="1"/>
    <col min="2057" max="2304" width="9.140625" style="1"/>
    <col min="2305" max="2305" width="7.7109375" style="1" customWidth="1"/>
    <col min="2306" max="2306" width="10.5703125" style="1" customWidth="1"/>
    <col min="2307" max="2307" width="11.140625" style="1" bestFit="1" customWidth="1"/>
    <col min="2308" max="2308" width="22.140625" style="1" bestFit="1" customWidth="1"/>
    <col min="2309" max="2309" width="12.28515625" style="1" customWidth="1"/>
    <col min="2310" max="2310" width="12.5703125" style="1" customWidth="1"/>
    <col min="2311" max="2311" width="12.140625" style="1" customWidth="1"/>
    <col min="2312" max="2312" width="19.7109375" style="1" customWidth="1"/>
    <col min="2313" max="2560" width="9.140625" style="1"/>
    <col min="2561" max="2561" width="7.7109375" style="1" customWidth="1"/>
    <col min="2562" max="2562" width="10.5703125" style="1" customWidth="1"/>
    <col min="2563" max="2563" width="11.140625" style="1" bestFit="1" customWidth="1"/>
    <col min="2564" max="2564" width="22.140625" style="1" bestFit="1" customWidth="1"/>
    <col min="2565" max="2565" width="12.28515625" style="1" customWidth="1"/>
    <col min="2566" max="2566" width="12.5703125" style="1" customWidth="1"/>
    <col min="2567" max="2567" width="12.140625" style="1" customWidth="1"/>
    <col min="2568" max="2568" width="19.7109375" style="1" customWidth="1"/>
    <col min="2569" max="2816" width="9.140625" style="1"/>
    <col min="2817" max="2817" width="7.7109375" style="1" customWidth="1"/>
    <col min="2818" max="2818" width="10.5703125" style="1" customWidth="1"/>
    <col min="2819" max="2819" width="11.140625" style="1" bestFit="1" customWidth="1"/>
    <col min="2820" max="2820" width="22.140625" style="1" bestFit="1" customWidth="1"/>
    <col min="2821" max="2821" width="12.28515625" style="1" customWidth="1"/>
    <col min="2822" max="2822" width="12.5703125" style="1" customWidth="1"/>
    <col min="2823" max="2823" width="12.140625" style="1" customWidth="1"/>
    <col min="2824" max="2824" width="19.7109375" style="1" customWidth="1"/>
    <col min="2825" max="3072" width="9.140625" style="1"/>
    <col min="3073" max="3073" width="7.7109375" style="1" customWidth="1"/>
    <col min="3074" max="3074" width="10.5703125" style="1" customWidth="1"/>
    <col min="3075" max="3075" width="11.140625" style="1" bestFit="1" customWidth="1"/>
    <col min="3076" max="3076" width="22.140625" style="1" bestFit="1" customWidth="1"/>
    <col min="3077" max="3077" width="12.28515625" style="1" customWidth="1"/>
    <col min="3078" max="3078" width="12.5703125" style="1" customWidth="1"/>
    <col min="3079" max="3079" width="12.140625" style="1" customWidth="1"/>
    <col min="3080" max="3080" width="19.7109375" style="1" customWidth="1"/>
    <col min="3081" max="3328" width="9.140625" style="1"/>
    <col min="3329" max="3329" width="7.7109375" style="1" customWidth="1"/>
    <col min="3330" max="3330" width="10.5703125" style="1" customWidth="1"/>
    <col min="3331" max="3331" width="11.140625" style="1" bestFit="1" customWidth="1"/>
    <col min="3332" max="3332" width="22.140625" style="1" bestFit="1" customWidth="1"/>
    <col min="3333" max="3333" width="12.28515625" style="1" customWidth="1"/>
    <col min="3334" max="3334" width="12.5703125" style="1" customWidth="1"/>
    <col min="3335" max="3335" width="12.140625" style="1" customWidth="1"/>
    <col min="3336" max="3336" width="19.7109375" style="1" customWidth="1"/>
    <col min="3337" max="3584" width="9.140625" style="1"/>
    <col min="3585" max="3585" width="7.7109375" style="1" customWidth="1"/>
    <col min="3586" max="3586" width="10.5703125" style="1" customWidth="1"/>
    <col min="3587" max="3587" width="11.140625" style="1" bestFit="1" customWidth="1"/>
    <col min="3588" max="3588" width="22.140625" style="1" bestFit="1" customWidth="1"/>
    <col min="3589" max="3589" width="12.28515625" style="1" customWidth="1"/>
    <col min="3590" max="3590" width="12.5703125" style="1" customWidth="1"/>
    <col min="3591" max="3591" width="12.140625" style="1" customWidth="1"/>
    <col min="3592" max="3592" width="19.7109375" style="1" customWidth="1"/>
    <col min="3593" max="3840" width="9.140625" style="1"/>
    <col min="3841" max="3841" width="7.7109375" style="1" customWidth="1"/>
    <col min="3842" max="3842" width="10.5703125" style="1" customWidth="1"/>
    <col min="3843" max="3843" width="11.140625" style="1" bestFit="1" customWidth="1"/>
    <col min="3844" max="3844" width="22.140625" style="1" bestFit="1" customWidth="1"/>
    <col min="3845" max="3845" width="12.28515625" style="1" customWidth="1"/>
    <col min="3846" max="3846" width="12.5703125" style="1" customWidth="1"/>
    <col min="3847" max="3847" width="12.140625" style="1" customWidth="1"/>
    <col min="3848" max="3848" width="19.7109375" style="1" customWidth="1"/>
    <col min="3849" max="4096" width="9.140625" style="1"/>
    <col min="4097" max="4097" width="7.7109375" style="1" customWidth="1"/>
    <col min="4098" max="4098" width="10.5703125" style="1" customWidth="1"/>
    <col min="4099" max="4099" width="11.140625" style="1" bestFit="1" customWidth="1"/>
    <col min="4100" max="4100" width="22.140625" style="1" bestFit="1" customWidth="1"/>
    <col min="4101" max="4101" width="12.28515625" style="1" customWidth="1"/>
    <col min="4102" max="4102" width="12.5703125" style="1" customWidth="1"/>
    <col min="4103" max="4103" width="12.140625" style="1" customWidth="1"/>
    <col min="4104" max="4104" width="19.7109375" style="1" customWidth="1"/>
    <col min="4105" max="4352" width="9.140625" style="1"/>
    <col min="4353" max="4353" width="7.7109375" style="1" customWidth="1"/>
    <col min="4354" max="4354" width="10.5703125" style="1" customWidth="1"/>
    <col min="4355" max="4355" width="11.140625" style="1" bestFit="1" customWidth="1"/>
    <col min="4356" max="4356" width="22.140625" style="1" bestFit="1" customWidth="1"/>
    <col min="4357" max="4357" width="12.28515625" style="1" customWidth="1"/>
    <col min="4358" max="4358" width="12.5703125" style="1" customWidth="1"/>
    <col min="4359" max="4359" width="12.140625" style="1" customWidth="1"/>
    <col min="4360" max="4360" width="19.7109375" style="1" customWidth="1"/>
    <col min="4361" max="4608" width="9.140625" style="1"/>
    <col min="4609" max="4609" width="7.7109375" style="1" customWidth="1"/>
    <col min="4610" max="4610" width="10.5703125" style="1" customWidth="1"/>
    <col min="4611" max="4611" width="11.140625" style="1" bestFit="1" customWidth="1"/>
    <col min="4612" max="4612" width="22.140625" style="1" bestFit="1" customWidth="1"/>
    <col min="4613" max="4613" width="12.28515625" style="1" customWidth="1"/>
    <col min="4614" max="4614" width="12.5703125" style="1" customWidth="1"/>
    <col min="4615" max="4615" width="12.140625" style="1" customWidth="1"/>
    <col min="4616" max="4616" width="19.7109375" style="1" customWidth="1"/>
    <col min="4617" max="4864" width="9.140625" style="1"/>
    <col min="4865" max="4865" width="7.7109375" style="1" customWidth="1"/>
    <col min="4866" max="4866" width="10.5703125" style="1" customWidth="1"/>
    <col min="4867" max="4867" width="11.140625" style="1" bestFit="1" customWidth="1"/>
    <col min="4868" max="4868" width="22.140625" style="1" bestFit="1" customWidth="1"/>
    <col min="4869" max="4869" width="12.28515625" style="1" customWidth="1"/>
    <col min="4870" max="4870" width="12.5703125" style="1" customWidth="1"/>
    <col min="4871" max="4871" width="12.140625" style="1" customWidth="1"/>
    <col min="4872" max="4872" width="19.7109375" style="1" customWidth="1"/>
    <col min="4873" max="5120" width="9.140625" style="1"/>
    <col min="5121" max="5121" width="7.7109375" style="1" customWidth="1"/>
    <col min="5122" max="5122" width="10.5703125" style="1" customWidth="1"/>
    <col min="5123" max="5123" width="11.140625" style="1" bestFit="1" customWidth="1"/>
    <col min="5124" max="5124" width="22.140625" style="1" bestFit="1" customWidth="1"/>
    <col min="5125" max="5125" width="12.28515625" style="1" customWidth="1"/>
    <col min="5126" max="5126" width="12.5703125" style="1" customWidth="1"/>
    <col min="5127" max="5127" width="12.140625" style="1" customWidth="1"/>
    <col min="5128" max="5128" width="19.7109375" style="1" customWidth="1"/>
    <col min="5129" max="5376" width="9.140625" style="1"/>
    <col min="5377" max="5377" width="7.7109375" style="1" customWidth="1"/>
    <col min="5378" max="5378" width="10.5703125" style="1" customWidth="1"/>
    <col min="5379" max="5379" width="11.140625" style="1" bestFit="1" customWidth="1"/>
    <col min="5380" max="5380" width="22.140625" style="1" bestFit="1" customWidth="1"/>
    <col min="5381" max="5381" width="12.28515625" style="1" customWidth="1"/>
    <col min="5382" max="5382" width="12.5703125" style="1" customWidth="1"/>
    <col min="5383" max="5383" width="12.140625" style="1" customWidth="1"/>
    <col min="5384" max="5384" width="19.7109375" style="1" customWidth="1"/>
    <col min="5385" max="5632" width="9.140625" style="1"/>
    <col min="5633" max="5633" width="7.7109375" style="1" customWidth="1"/>
    <col min="5634" max="5634" width="10.5703125" style="1" customWidth="1"/>
    <col min="5635" max="5635" width="11.140625" style="1" bestFit="1" customWidth="1"/>
    <col min="5636" max="5636" width="22.140625" style="1" bestFit="1" customWidth="1"/>
    <col min="5637" max="5637" width="12.28515625" style="1" customWidth="1"/>
    <col min="5638" max="5638" width="12.5703125" style="1" customWidth="1"/>
    <col min="5639" max="5639" width="12.140625" style="1" customWidth="1"/>
    <col min="5640" max="5640" width="19.7109375" style="1" customWidth="1"/>
    <col min="5641" max="5888" width="9.140625" style="1"/>
    <col min="5889" max="5889" width="7.7109375" style="1" customWidth="1"/>
    <col min="5890" max="5890" width="10.5703125" style="1" customWidth="1"/>
    <col min="5891" max="5891" width="11.140625" style="1" bestFit="1" customWidth="1"/>
    <col min="5892" max="5892" width="22.140625" style="1" bestFit="1" customWidth="1"/>
    <col min="5893" max="5893" width="12.28515625" style="1" customWidth="1"/>
    <col min="5894" max="5894" width="12.5703125" style="1" customWidth="1"/>
    <col min="5895" max="5895" width="12.140625" style="1" customWidth="1"/>
    <col min="5896" max="5896" width="19.7109375" style="1" customWidth="1"/>
    <col min="5897" max="6144" width="9.140625" style="1"/>
    <col min="6145" max="6145" width="7.7109375" style="1" customWidth="1"/>
    <col min="6146" max="6146" width="10.5703125" style="1" customWidth="1"/>
    <col min="6147" max="6147" width="11.140625" style="1" bestFit="1" customWidth="1"/>
    <col min="6148" max="6148" width="22.140625" style="1" bestFit="1" customWidth="1"/>
    <col min="6149" max="6149" width="12.28515625" style="1" customWidth="1"/>
    <col min="6150" max="6150" width="12.5703125" style="1" customWidth="1"/>
    <col min="6151" max="6151" width="12.140625" style="1" customWidth="1"/>
    <col min="6152" max="6152" width="19.7109375" style="1" customWidth="1"/>
    <col min="6153" max="6400" width="9.140625" style="1"/>
    <col min="6401" max="6401" width="7.7109375" style="1" customWidth="1"/>
    <col min="6402" max="6402" width="10.5703125" style="1" customWidth="1"/>
    <col min="6403" max="6403" width="11.140625" style="1" bestFit="1" customWidth="1"/>
    <col min="6404" max="6404" width="22.140625" style="1" bestFit="1" customWidth="1"/>
    <col min="6405" max="6405" width="12.28515625" style="1" customWidth="1"/>
    <col min="6406" max="6406" width="12.5703125" style="1" customWidth="1"/>
    <col min="6407" max="6407" width="12.140625" style="1" customWidth="1"/>
    <col min="6408" max="6408" width="19.7109375" style="1" customWidth="1"/>
    <col min="6409" max="6656" width="9.140625" style="1"/>
    <col min="6657" max="6657" width="7.7109375" style="1" customWidth="1"/>
    <col min="6658" max="6658" width="10.5703125" style="1" customWidth="1"/>
    <col min="6659" max="6659" width="11.140625" style="1" bestFit="1" customWidth="1"/>
    <col min="6660" max="6660" width="22.140625" style="1" bestFit="1" customWidth="1"/>
    <col min="6661" max="6661" width="12.28515625" style="1" customWidth="1"/>
    <col min="6662" max="6662" width="12.5703125" style="1" customWidth="1"/>
    <col min="6663" max="6663" width="12.140625" style="1" customWidth="1"/>
    <col min="6664" max="6664" width="19.7109375" style="1" customWidth="1"/>
    <col min="6665" max="6912" width="9.140625" style="1"/>
    <col min="6913" max="6913" width="7.7109375" style="1" customWidth="1"/>
    <col min="6914" max="6914" width="10.5703125" style="1" customWidth="1"/>
    <col min="6915" max="6915" width="11.140625" style="1" bestFit="1" customWidth="1"/>
    <col min="6916" max="6916" width="22.140625" style="1" bestFit="1" customWidth="1"/>
    <col min="6917" max="6917" width="12.28515625" style="1" customWidth="1"/>
    <col min="6918" max="6918" width="12.5703125" style="1" customWidth="1"/>
    <col min="6919" max="6919" width="12.140625" style="1" customWidth="1"/>
    <col min="6920" max="6920" width="19.7109375" style="1" customWidth="1"/>
    <col min="6921" max="7168" width="9.140625" style="1"/>
    <col min="7169" max="7169" width="7.7109375" style="1" customWidth="1"/>
    <col min="7170" max="7170" width="10.5703125" style="1" customWidth="1"/>
    <col min="7171" max="7171" width="11.140625" style="1" bestFit="1" customWidth="1"/>
    <col min="7172" max="7172" width="22.140625" style="1" bestFit="1" customWidth="1"/>
    <col min="7173" max="7173" width="12.28515625" style="1" customWidth="1"/>
    <col min="7174" max="7174" width="12.5703125" style="1" customWidth="1"/>
    <col min="7175" max="7175" width="12.140625" style="1" customWidth="1"/>
    <col min="7176" max="7176" width="19.7109375" style="1" customWidth="1"/>
    <col min="7177" max="7424" width="9.140625" style="1"/>
    <col min="7425" max="7425" width="7.7109375" style="1" customWidth="1"/>
    <col min="7426" max="7426" width="10.5703125" style="1" customWidth="1"/>
    <col min="7427" max="7427" width="11.140625" style="1" bestFit="1" customWidth="1"/>
    <col min="7428" max="7428" width="22.140625" style="1" bestFit="1" customWidth="1"/>
    <col min="7429" max="7429" width="12.28515625" style="1" customWidth="1"/>
    <col min="7430" max="7430" width="12.5703125" style="1" customWidth="1"/>
    <col min="7431" max="7431" width="12.140625" style="1" customWidth="1"/>
    <col min="7432" max="7432" width="19.7109375" style="1" customWidth="1"/>
    <col min="7433" max="7680" width="9.140625" style="1"/>
    <col min="7681" max="7681" width="7.7109375" style="1" customWidth="1"/>
    <col min="7682" max="7682" width="10.5703125" style="1" customWidth="1"/>
    <col min="7683" max="7683" width="11.140625" style="1" bestFit="1" customWidth="1"/>
    <col min="7684" max="7684" width="22.140625" style="1" bestFit="1" customWidth="1"/>
    <col min="7685" max="7685" width="12.28515625" style="1" customWidth="1"/>
    <col min="7686" max="7686" width="12.5703125" style="1" customWidth="1"/>
    <col min="7687" max="7687" width="12.140625" style="1" customWidth="1"/>
    <col min="7688" max="7688" width="19.7109375" style="1" customWidth="1"/>
    <col min="7689" max="7936" width="9.140625" style="1"/>
    <col min="7937" max="7937" width="7.7109375" style="1" customWidth="1"/>
    <col min="7938" max="7938" width="10.5703125" style="1" customWidth="1"/>
    <col min="7939" max="7939" width="11.140625" style="1" bestFit="1" customWidth="1"/>
    <col min="7940" max="7940" width="22.140625" style="1" bestFit="1" customWidth="1"/>
    <col min="7941" max="7941" width="12.28515625" style="1" customWidth="1"/>
    <col min="7942" max="7942" width="12.5703125" style="1" customWidth="1"/>
    <col min="7943" max="7943" width="12.140625" style="1" customWidth="1"/>
    <col min="7944" max="7944" width="19.7109375" style="1" customWidth="1"/>
    <col min="7945" max="8192" width="9.140625" style="1"/>
    <col min="8193" max="8193" width="7.7109375" style="1" customWidth="1"/>
    <col min="8194" max="8194" width="10.5703125" style="1" customWidth="1"/>
    <col min="8195" max="8195" width="11.140625" style="1" bestFit="1" customWidth="1"/>
    <col min="8196" max="8196" width="22.140625" style="1" bestFit="1" customWidth="1"/>
    <col min="8197" max="8197" width="12.28515625" style="1" customWidth="1"/>
    <col min="8198" max="8198" width="12.5703125" style="1" customWidth="1"/>
    <col min="8199" max="8199" width="12.140625" style="1" customWidth="1"/>
    <col min="8200" max="8200" width="19.7109375" style="1" customWidth="1"/>
    <col min="8201" max="8448" width="9.140625" style="1"/>
    <col min="8449" max="8449" width="7.7109375" style="1" customWidth="1"/>
    <col min="8450" max="8450" width="10.5703125" style="1" customWidth="1"/>
    <col min="8451" max="8451" width="11.140625" style="1" bestFit="1" customWidth="1"/>
    <col min="8452" max="8452" width="22.140625" style="1" bestFit="1" customWidth="1"/>
    <col min="8453" max="8453" width="12.28515625" style="1" customWidth="1"/>
    <col min="8454" max="8454" width="12.5703125" style="1" customWidth="1"/>
    <col min="8455" max="8455" width="12.140625" style="1" customWidth="1"/>
    <col min="8456" max="8456" width="19.7109375" style="1" customWidth="1"/>
    <col min="8457" max="8704" width="9.140625" style="1"/>
    <col min="8705" max="8705" width="7.7109375" style="1" customWidth="1"/>
    <col min="8706" max="8706" width="10.5703125" style="1" customWidth="1"/>
    <col min="8707" max="8707" width="11.140625" style="1" bestFit="1" customWidth="1"/>
    <col min="8708" max="8708" width="22.140625" style="1" bestFit="1" customWidth="1"/>
    <col min="8709" max="8709" width="12.28515625" style="1" customWidth="1"/>
    <col min="8710" max="8710" width="12.5703125" style="1" customWidth="1"/>
    <col min="8711" max="8711" width="12.140625" style="1" customWidth="1"/>
    <col min="8712" max="8712" width="19.7109375" style="1" customWidth="1"/>
    <col min="8713" max="8960" width="9.140625" style="1"/>
    <col min="8961" max="8961" width="7.7109375" style="1" customWidth="1"/>
    <col min="8962" max="8962" width="10.5703125" style="1" customWidth="1"/>
    <col min="8963" max="8963" width="11.140625" style="1" bestFit="1" customWidth="1"/>
    <col min="8964" max="8964" width="22.140625" style="1" bestFit="1" customWidth="1"/>
    <col min="8965" max="8965" width="12.28515625" style="1" customWidth="1"/>
    <col min="8966" max="8966" width="12.5703125" style="1" customWidth="1"/>
    <col min="8967" max="8967" width="12.140625" style="1" customWidth="1"/>
    <col min="8968" max="8968" width="19.7109375" style="1" customWidth="1"/>
    <col min="8969" max="9216" width="9.140625" style="1"/>
    <col min="9217" max="9217" width="7.7109375" style="1" customWidth="1"/>
    <col min="9218" max="9218" width="10.5703125" style="1" customWidth="1"/>
    <col min="9219" max="9219" width="11.140625" style="1" bestFit="1" customWidth="1"/>
    <col min="9220" max="9220" width="22.140625" style="1" bestFit="1" customWidth="1"/>
    <col min="9221" max="9221" width="12.28515625" style="1" customWidth="1"/>
    <col min="9222" max="9222" width="12.5703125" style="1" customWidth="1"/>
    <col min="9223" max="9223" width="12.140625" style="1" customWidth="1"/>
    <col min="9224" max="9224" width="19.7109375" style="1" customWidth="1"/>
    <col min="9225" max="9472" width="9.140625" style="1"/>
    <col min="9473" max="9473" width="7.7109375" style="1" customWidth="1"/>
    <col min="9474" max="9474" width="10.5703125" style="1" customWidth="1"/>
    <col min="9475" max="9475" width="11.140625" style="1" bestFit="1" customWidth="1"/>
    <col min="9476" max="9476" width="22.140625" style="1" bestFit="1" customWidth="1"/>
    <col min="9477" max="9477" width="12.28515625" style="1" customWidth="1"/>
    <col min="9478" max="9478" width="12.5703125" style="1" customWidth="1"/>
    <col min="9479" max="9479" width="12.140625" style="1" customWidth="1"/>
    <col min="9480" max="9480" width="19.7109375" style="1" customWidth="1"/>
    <col min="9481" max="9728" width="9.140625" style="1"/>
    <col min="9729" max="9729" width="7.7109375" style="1" customWidth="1"/>
    <col min="9730" max="9730" width="10.5703125" style="1" customWidth="1"/>
    <col min="9731" max="9731" width="11.140625" style="1" bestFit="1" customWidth="1"/>
    <col min="9732" max="9732" width="22.140625" style="1" bestFit="1" customWidth="1"/>
    <col min="9733" max="9733" width="12.28515625" style="1" customWidth="1"/>
    <col min="9734" max="9734" width="12.5703125" style="1" customWidth="1"/>
    <col min="9735" max="9735" width="12.140625" style="1" customWidth="1"/>
    <col min="9736" max="9736" width="19.7109375" style="1" customWidth="1"/>
    <col min="9737" max="9984" width="9.140625" style="1"/>
    <col min="9985" max="9985" width="7.7109375" style="1" customWidth="1"/>
    <col min="9986" max="9986" width="10.5703125" style="1" customWidth="1"/>
    <col min="9987" max="9987" width="11.140625" style="1" bestFit="1" customWidth="1"/>
    <col min="9988" max="9988" width="22.140625" style="1" bestFit="1" customWidth="1"/>
    <col min="9989" max="9989" width="12.28515625" style="1" customWidth="1"/>
    <col min="9990" max="9990" width="12.5703125" style="1" customWidth="1"/>
    <col min="9991" max="9991" width="12.140625" style="1" customWidth="1"/>
    <col min="9992" max="9992" width="19.7109375" style="1" customWidth="1"/>
    <col min="9993" max="10240" width="9.140625" style="1"/>
    <col min="10241" max="10241" width="7.7109375" style="1" customWidth="1"/>
    <col min="10242" max="10242" width="10.5703125" style="1" customWidth="1"/>
    <col min="10243" max="10243" width="11.140625" style="1" bestFit="1" customWidth="1"/>
    <col min="10244" max="10244" width="22.140625" style="1" bestFit="1" customWidth="1"/>
    <col min="10245" max="10245" width="12.28515625" style="1" customWidth="1"/>
    <col min="10246" max="10246" width="12.5703125" style="1" customWidth="1"/>
    <col min="10247" max="10247" width="12.140625" style="1" customWidth="1"/>
    <col min="10248" max="10248" width="19.7109375" style="1" customWidth="1"/>
    <col min="10249" max="10496" width="9.140625" style="1"/>
    <col min="10497" max="10497" width="7.7109375" style="1" customWidth="1"/>
    <col min="10498" max="10498" width="10.5703125" style="1" customWidth="1"/>
    <col min="10499" max="10499" width="11.140625" style="1" bestFit="1" customWidth="1"/>
    <col min="10500" max="10500" width="22.140625" style="1" bestFit="1" customWidth="1"/>
    <col min="10501" max="10501" width="12.28515625" style="1" customWidth="1"/>
    <col min="10502" max="10502" width="12.5703125" style="1" customWidth="1"/>
    <col min="10503" max="10503" width="12.140625" style="1" customWidth="1"/>
    <col min="10504" max="10504" width="19.7109375" style="1" customWidth="1"/>
    <col min="10505" max="10752" width="9.140625" style="1"/>
    <col min="10753" max="10753" width="7.7109375" style="1" customWidth="1"/>
    <col min="10754" max="10754" width="10.5703125" style="1" customWidth="1"/>
    <col min="10755" max="10755" width="11.140625" style="1" bestFit="1" customWidth="1"/>
    <col min="10756" max="10756" width="22.140625" style="1" bestFit="1" customWidth="1"/>
    <col min="10757" max="10757" width="12.28515625" style="1" customWidth="1"/>
    <col min="10758" max="10758" width="12.5703125" style="1" customWidth="1"/>
    <col min="10759" max="10759" width="12.140625" style="1" customWidth="1"/>
    <col min="10760" max="10760" width="19.7109375" style="1" customWidth="1"/>
    <col min="10761" max="11008" width="9.140625" style="1"/>
    <col min="11009" max="11009" width="7.7109375" style="1" customWidth="1"/>
    <col min="11010" max="11010" width="10.5703125" style="1" customWidth="1"/>
    <col min="11011" max="11011" width="11.140625" style="1" bestFit="1" customWidth="1"/>
    <col min="11012" max="11012" width="22.140625" style="1" bestFit="1" customWidth="1"/>
    <col min="11013" max="11013" width="12.28515625" style="1" customWidth="1"/>
    <col min="11014" max="11014" width="12.5703125" style="1" customWidth="1"/>
    <col min="11015" max="11015" width="12.140625" style="1" customWidth="1"/>
    <col min="11016" max="11016" width="19.7109375" style="1" customWidth="1"/>
    <col min="11017" max="11264" width="9.140625" style="1"/>
    <col min="11265" max="11265" width="7.7109375" style="1" customWidth="1"/>
    <col min="11266" max="11266" width="10.5703125" style="1" customWidth="1"/>
    <col min="11267" max="11267" width="11.140625" style="1" bestFit="1" customWidth="1"/>
    <col min="11268" max="11268" width="22.140625" style="1" bestFit="1" customWidth="1"/>
    <col min="11269" max="11269" width="12.28515625" style="1" customWidth="1"/>
    <col min="11270" max="11270" width="12.5703125" style="1" customWidth="1"/>
    <col min="11271" max="11271" width="12.140625" style="1" customWidth="1"/>
    <col min="11272" max="11272" width="19.7109375" style="1" customWidth="1"/>
    <col min="11273" max="11520" width="9.140625" style="1"/>
    <col min="11521" max="11521" width="7.7109375" style="1" customWidth="1"/>
    <col min="11522" max="11522" width="10.5703125" style="1" customWidth="1"/>
    <col min="11523" max="11523" width="11.140625" style="1" bestFit="1" customWidth="1"/>
    <col min="11524" max="11524" width="22.140625" style="1" bestFit="1" customWidth="1"/>
    <col min="11525" max="11525" width="12.28515625" style="1" customWidth="1"/>
    <col min="11526" max="11526" width="12.5703125" style="1" customWidth="1"/>
    <col min="11527" max="11527" width="12.140625" style="1" customWidth="1"/>
    <col min="11528" max="11528" width="19.7109375" style="1" customWidth="1"/>
    <col min="11529" max="11776" width="9.140625" style="1"/>
    <col min="11777" max="11777" width="7.7109375" style="1" customWidth="1"/>
    <col min="11778" max="11778" width="10.5703125" style="1" customWidth="1"/>
    <col min="11779" max="11779" width="11.140625" style="1" bestFit="1" customWidth="1"/>
    <col min="11780" max="11780" width="22.140625" style="1" bestFit="1" customWidth="1"/>
    <col min="11781" max="11781" width="12.28515625" style="1" customWidth="1"/>
    <col min="11782" max="11782" width="12.5703125" style="1" customWidth="1"/>
    <col min="11783" max="11783" width="12.140625" style="1" customWidth="1"/>
    <col min="11784" max="11784" width="19.7109375" style="1" customWidth="1"/>
    <col min="11785" max="12032" width="9.140625" style="1"/>
    <col min="12033" max="12033" width="7.7109375" style="1" customWidth="1"/>
    <col min="12034" max="12034" width="10.5703125" style="1" customWidth="1"/>
    <col min="12035" max="12035" width="11.140625" style="1" bestFit="1" customWidth="1"/>
    <col min="12036" max="12036" width="22.140625" style="1" bestFit="1" customWidth="1"/>
    <col min="12037" max="12037" width="12.28515625" style="1" customWidth="1"/>
    <col min="12038" max="12038" width="12.5703125" style="1" customWidth="1"/>
    <col min="12039" max="12039" width="12.140625" style="1" customWidth="1"/>
    <col min="12040" max="12040" width="19.7109375" style="1" customWidth="1"/>
    <col min="12041" max="12288" width="9.140625" style="1"/>
    <col min="12289" max="12289" width="7.7109375" style="1" customWidth="1"/>
    <col min="12290" max="12290" width="10.5703125" style="1" customWidth="1"/>
    <col min="12291" max="12291" width="11.140625" style="1" bestFit="1" customWidth="1"/>
    <col min="12292" max="12292" width="22.140625" style="1" bestFit="1" customWidth="1"/>
    <col min="12293" max="12293" width="12.28515625" style="1" customWidth="1"/>
    <col min="12294" max="12294" width="12.5703125" style="1" customWidth="1"/>
    <col min="12295" max="12295" width="12.140625" style="1" customWidth="1"/>
    <col min="12296" max="12296" width="19.7109375" style="1" customWidth="1"/>
    <col min="12297" max="12544" width="9.140625" style="1"/>
    <col min="12545" max="12545" width="7.7109375" style="1" customWidth="1"/>
    <col min="12546" max="12546" width="10.5703125" style="1" customWidth="1"/>
    <col min="12547" max="12547" width="11.140625" style="1" bestFit="1" customWidth="1"/>
    <col min="12548" max="12548" width="22.140625" style="1" bestFit="1" customWidth="1"/>
    <col min="12549" max="12549" width="12.28515625" style="1" customWidth="1"/>
    <col min="12550" max="12550" width="12.5703125" style="1" customWidth="1"/>
    <col min="12551" max="12551" width="12.140625" style="1" customWidth="1"/>
    <col min="12552" max="12552" width="19.7109375" style="1" customWidth="1"/>
    <col min="12553" max="12800" width="9.140625" style="1"/>
    <col min="12801" max="12801" width="7.7109375" style="1" customWidth="1"/>
    <col min="12802" max="12802" width="10.5703125" style="1" customWidth="1"/>
    <col min="12803" max="12803" width="11.140625" style="1" bestFit="1" customWidth="1"/>
    <col min="12804" max="12804" width="22.140625" style="1" bestFit="1" customWidth="1"/>
    <col min="12805" max="12805" width="12.28515625" style="1" customWidth="1"/>
    <col min="12806" max="12806" width="12.5703125" style="1" customWidth="1"/>
    <col min="12807" max="12807" width="12.140625" style="1" customWidth="1"/>
    <col min="12808" max="12808" width="19.7109375" style="1" customWidth="1"/>
    <col min="12809" max="13056" width="9.140625" style="1"/>
    <col min="13057" max="13057" width="7.7109375" style="1" customWidth="1"/>
    <col min="13058" max="13058" width="10.5703125" style="1" customWidth="1"/>
    <col min="13059" max="13059" width="11.140625" style="1" bestFit="1" customWidth="1"/>
    <col min="13060" max="13060" width="22.140625" style="1" bestFit="1" customWidth="1"/>
    <col min="13061" max="13061" width="12.28515625" style="1" customWidth="1"/>
    <col min="13062" max="13062" width="12.5703125" style="1" customWidth="1"/>
    <col min="13063" max="13063" width="12.140625" style="1" customWidth="1"/>
    <col min="13064" max="13064" width="19.7109375" style="1" customWidth="1"/>
    <col min="13065" max="13312" width="9.140625" style="1"/>
    <col min="13313" max="13313" width="7.7109375" style="1" customWidth="1"/>
    <col min="13314" max="13314" width="10.5703125" style="1" customWidth="1"/>
    <col min="13315" max="13315" width="11.140625" style="1" bestFit="1" customWidth="1"/>
    <col min="13316" max="13316" width="22.140625" style="1" bestFit="1" customWidth="1"/>
    <col min="13317" max="13317" width="12.28515625" style="1" customWidth="1"/>
    <col min="13318" max="13318" width="12.5703125" style="1" customWidth="1"/>
    <col min="13319" max="13319" width="12.140625" style="1" customWidth="1"/>
    <col min="13320" max="13320" width="19.7109375" style="1" customWidth="1"/>
    <col min="13321" max="13568" width="9.140625" style="1"/>
    <col min="13569" max="13569" width="7.7109375" style="1" customWidth="1"/>
    <col min="13570" max="13570" width="10.5703125" style="1" customWidth="1"/>
    <col min="13571" max="13571" width="11.140625" style="1" bestFit="1" customWidth="1"/>
    <col min="13572" max="13572" width="22.140625" style="1" bestFit="1" customWidth="1"/>
    <col min="13573" max="13573" width="12.28515625" style="1" customWidth="1"/>
    <col min="13574" max="13574" width="12.5703125" style="1" customWidth="1"/>
    <col min="13575" max="13575" width="12.140625" style="1" customWidth="1"/>
    <col min="13576" max="13576" width="19.7109375" style="1" customWidth="1"/>
    <col min="13577" max="13824" width="9.140625" style="1"/>
    <col min="13825" max="13825" width="7.7109375" style="1" customWidth="1"/>
    <col min="13826" max="13826" width="10.5703125" style="1" customWidth="1"/>
    <col min="13827" max="13827" width="11.140625" style="1" bestFit="1" customWidth="1"/>
    <col min="13828" max="13828" width="22.140625" style="1" bestFit="1" customWidth="1"/>
    <col min="13829" max="13829" width="12.28515625" style="1" customWidth="1"/>
    <col min="13830" max="13830" width="12.5703125" style="1" customWidth="1"/>
    <col min="13831" max="13831" width="12.140625" style="1" customWidth="1"/>
    <col min="13832" max="13832" width="19.7109375" style="1" customWidth="1"/>
    <col min="13833" max="14080" width="9.140625" style="1"/>
    <col min="14081" max="14081" width="7.7109375" style="1" customWidth="1"/>
    <col min="14082" max="14082" width="10.5703125" style="1" customWidth="1"/>
    <col min="14083" max="14083" width="11.140625" style="1" bestFit="1" customWidth="1"/>
    <col min="14084" max="14084" width="22.140625" style="1" bestFit="1" customWidth="1"/>
    <col min="14085" max="14085" width="12.28515625" style="1" customWidth="1"/>
    <col min="14086" max="14086" width="12.5703125" style="1" customWidth="1"/>
    <col min="14087" max="14087" width="12.140625" style="1" customWidth="1"/>
    <col min="14088" max="14088" width="19.7109375" style="1" customWidth="1"/>
    <col min="14089" max="14336" width="9.140625" style="1"/>
    <col min="14337" max="14337" width="7.7109375" style="1" customWidth="1"/>
    <col min="14338" max="14338" width="10.5703125" style="1" customWidth="1"/>
    <col min="14339" max="14339" width="11.140625" style="1" bestFit="1" customWidth="1"/>
    <col min="14340" max="14340" width="22.140625" style="1" bestFit="1" customWidth="1"/>
    <col min="14341" max="14341" width="12.28515625" style="1" customWidth="1"/>
    <col min="14342" max="14342" width="12.5703125" style="1" customWidth="1"/>
    <col min="14343" max="14343" width="12.140625" style="1" customWidth="1"/>
    <col min="14344" max="14344" width="19.7109375" style="1" customWidth="1"/>
    <col min="14345" max="14592" width="9.140625" style="1"/>
    <col min="14593" max="14593" width="7.7109375" style="1" customWidth="1"/>
    <col min="14594" max="14594" width="10.5703125" style="1" customWidth="1"/>
    <col min="14595" max="14595" width="11.140625" style="1" bestFit="1" customWidth="1"/>
    <col min="14596" max="14596" width="22.140625" style="1" bestFit="1" customWidth="1"/>
    <col min="14597" max="14597" width="12.28515625" style="1" customWidth="1"/>
    <col min="14598" max="14598" width="12.5703125" style="1" customWidth="1"/>
    <col min="14599" max="14599" width="12.140625" style="1" customWidth="1"/>
    <col min="14600" max="14600" width="19.7109375" style="1" customWidth="1"/>
    <col min="14601" max="14848" width="9.140625" style="1"/>
    <col min="14849" max="14849" width="7.7109375" style="1" customWidth="1"/>
    <col min="14850" max="14850" width="10.5703125" style="1" customWidth="1"/>
    <col min="14851" max="14851" width="11.140625" style="1" bestFit="1" customWidth="1"/>
    <col min="14852" max="14852" width="22.140625" style="1" bestFit="1" customWidth="1"/>
    <col min="14853" max="14853" width="12.28515625" style="1" customWidth="1"/>
    <col min="14854" max="14854" width="12.5703125" style="1" customWidth="1"/>
    <col min="14855" max="14855" width="12.140625" style="1" customWidth="1"/>
    <col min="14856" max="14856" width="19.7109375" style="1" customWidth="1"/>
    <col min="14857" max="15104" width="9.140625" style="1"/>
    <col min="15105" max="15105" width="7.7109375" style="1" customWidth="1"/>
    <col min="15106" max="15106" width="10.5703125" style="1" customWidth="1"/>
    <col min="15107" max="15107" width="11.140625" style="1" bestFit="1" customWidth="1"/>
    <col min="15108" max="15108" width="22.140625" style="1" bestFit="1" customWidth="1"/>
    <col min="15109" max="15109" width="12.28515625" style="1" customWidth="1"/>
    <col min="15110" max="15110" width="12.5703125" style="1" customWidth="1"/>
    <col min="15111" max="15111" width="12.140625" style="1" customWidth="1"/>
    <col min="15112" max="15112" width="19.7109375" style="1" customWidth="1"/>
    <col min="15113" max="15360" width="9.140625" style="1"/>
    <col min="15361" max="15361" width="7.7109375" style="1" customWidth="1"/>
    <col min="15362" max="15362" width="10.5703125" style="1" customWidth="1"/>
    <col min="15363" max="15363" width="11.140625" style="1" bestFit="1" customWidth="1"/>
    <col min="15364" max="15364" width="22.140625" style="1" bestFit="1" customWidth="1"/>
    <col min="15365" max="15365" width="12.28515625" style="1" customWidth="1"/>
    <col min="15366" max="15366" width="12.5703125" style="1" customWidth="1"/>
    <col min="15367" max="15367" width="12.140625" style="1" customWidth="1"/>
    <col min="15368" max="15368" width="19.7109375" style="1" customWidth="1"/>
    <col min="15369" max="15616" width="9.140625" style="1"/>
    <col min="15617" max="15617" width="7.7109375" style="1" customWidth="1"/>
    <col min="15618" max="15618" width="10.5703125" style="1" customWidth="1"/>
    <col min="15619" max="15619" width="11.140625" style="1" bestFit="1" customWidth="1"/>
    <col min="15620" max="15620" width="22.140625" style="1" bestFit="1" customWidth="1"/>
    <col min="15621" max="15621" width="12.28515625" style="1" customWidth="1"/>
    <col min="15622" max="15622" width="12.5703125" style="1" customWidth="1"/>
    <col min="15623" max="15623" width="12.140625" style="1" customWidth="1"/>
    <col min="15624" max="15624" width="19.7109375" style="1" customWidth="1"/>
    <col min="15625" max="15872" width="9.140625" style="1"/>
    <col min="15873" max="15873" width="7.7109375" style="1" customWidth="1"/>
    <col min="15874" max="15874" width="10.5703125" style="1" customWidth="1"/>
    <col min="15875" max="15875" width="11.140625" style="1" bestFit="1" customWidth="1"/>
    <col min="15876" max="15876" width="22.140625" style="1" bestFit="1" customWidth="1"/>
    <col min="15877" max="15877" width="12.28515625" style="1" customWidth="1"/>
    <col min="15878" max="15878" width="12.5703125" style="1" customWidth="1"/>
    <col min="15879" max="15879" width="12.140625" style="1" customWidth="1"/>
    <col min="15880" max="15880" width="19.7109375" style="1" customWidth="1"/>
    <col min="15881" max="16128" width="9.140625" style="1"/>
    <col min="16129" max="16129" width="7.7109375" style="1" customWidth="1"/>
    <col min="16130" max="16130" width="10.5703125" style="1" customWidth="1"/>
    <col min="16131" max="16131" width="11.140625" style="1" bestFit="1" customWidth="1"/>
    <col min="16132" max="16132" width="22.140625" style="1" bestFit="1" customWidth="1"/>
    <col min="16133" max="16133" width="12.28515625" style="1" customWidth="1"/>
    <col min="16134" max="16134" width="12.5703125" style="1" customWidth="1"/>
    <col min="16135" max="16135" width="12.140625" style="1" customWidth="1"/>
    <col min="16136" max="16136" width="19.7109375" style="1" customWidth="1"/>
    <col min="16137" max="16384" width="9.140625" style="1"/>
  </cols>
  <sheetData>
    <row r="1" spans="1:11" ht="50.1" customHeight="1">
      <c r="A1" s="3444"/>
      <c r="B1" s="3444"/>
      <c r="C1" s="2265"/>
      <c r="D1" s="2265"/>
      <c r="E1" s="2265"/>
      <c r="F1" s="2265"/>
      <c r="G1" s="2266" t="s">
        <v>1232</v>
      </c>
    </row>
    <row r="2" spans="1:11" s="37" customFormat="1" ht="30" customHeight="1">
      <c r="A2" s="3323" t="s">
        <v>1012</v>
      </c>
      <c r="B2" s="3323"/>
      <c r="C2" s="3323"/>
      <c r="D2" s="3323"/>
      <c r="E2" s="3323"/>
      <c r="F2" s="3323"/>
      <c r="G2" s="3323"/>
    </row>
    <row r="3" spans="1:11" s="37" customFormat="1" ht="15">
      <c r="A3" s="342"/>
      <c r="B3" s="342"/>
      <c r="C3" s="342"/>
      <c r="D3" s="342"/>
      <c r="E3" s="342"/>
      <c r="F3" s="342"/>
      <c r="G3" s="5" t="s">
        <v>9</v>
      </c>
    </row>
    <row r="4" spans="1:11" s="37" customFormat="1" ht="20.100000000000001" customHeight="1" thickBot="1">
      <c r="A4" s="3437" t="s">
        <v>12</v>
      </c>
      <c r="B4" s="3437"/>
      <c r="C4" s="3437"/>
      <c r="D4" s="3437"/>
      <c r="E4" s="3437"/>
      <c r="F4" s="3437"/>
      <c r="G4" s="3437"/>
      <c r="H4" s="2267"/>
      <c r="I4" s="2267"/>
      <c r="J4" s="2267"/>
      <c r="K4" s="2268"/>
    </row>
    <row r="5" spans="1:11" s="37" customFormat="1" ht="20.100000000000001" customHeight="1">
      <c r="A5" s="3438" t="s">
        <v>0</v>
      </c>
      <c r="B5" s="3440" t="s">
        <v>1</v>
      </c>
      <c r="C5" s="3440" t="s">
        <v>3</v>
      </c>
      <c r="D5" s="3442" t="s">
        <v>1013</v>
      </c>
      <c r="E5" s="3440" t="s">
        <v>2</v>
      </c>
      <c r="F5" s="3440"/>
      <c r="G5" s="3427" t="s">
        <v>85</v>
      </c>
      <c r="H5" s="2268"/>
      <c r="I5" s="2268"/>
      <c r="J5" s="2269"/>
    </row>
    <row r="6" spans="1:11" s="37" customFormat="1" ht="20.100000000000001" customHeight="1">
      <c r="A6" s="3439"/>
      <c r="B6" s="3441"/>
      <c r="C6" s="3441"/>
      <c r="D6" s="3443"/>
      <c r="E6" s="2270" t="s">
        <v>8</v>
      </c>
      <c r="F6" s="2270" t="s">
        <v>7</v>
      </c>
      <c r="G6" s="3428"/>
      <c r="H6" s="2268"/>
      <c r="I6" s="2268"/>
      <c r="J6" s="2269"/>
    </row>
    <row r="7" spans="1:11" s="37" customFormat="1" ht="24" customHeight="1">
      <c r="A7" s="3431">
        <v>852</v>
      </c>
      <c r="B7" s="3433">
        <v>85295</v>
      </c>
      <c r="C7" s="2271">
        <v>2057</v>
      </c>
      <c r="D7" s="2272">
        <f t="shared" ref="D7:D9" si="0">SUM(E7:F7)</f>
        <v>2702365</v>
      </c>
      <c r="E7" s="2273">
        <v>2702365</v>
      </c>
      <c r="F7" s="2272">
        <v>0</v>
      </c>
      <c r="G7" s="3435" t="s">
        <v>1014</v>
      </c>
      <c r="H7" s="2269"/>
      <c r="I7" s="2269"/>
      <c r="J7" s="2269"/>
    </row>
    <row r="8" spans="1:11" s="37" customFormat="1" ht="23.25" customHeight="1">
      <c r="A8" s="3432"/>
      <c r="B8" s="3434"/>
      <c r="C8" s="2271">
        <v>2059</v>
      </c>
      <c r="D8" s="2272">
        <f t="shared" si="0"/>
        <v>504048</v>
      </c>
      <c r="E8" s="2273">
        <v>504048</v>
      </c>
      <c r="F8" s="2272">
        <v>0</v>
      </c>
      <c r="G8" s="3436"/>
      <c r="H8" s="2269"/>
      <c r="I8" s="2269"/>
      <c r="J8" s="2269"/>
    </row>
    <row r="9" spans="1:11" s="37" customFormat="1" ht="50.1" customHeight="1">
      <c r="A9" s="2274">
        <v>855</v>
      </c>
      <c r="B9" s="2271">
        <v>85504</v>
      </c>
      <c r="C9" s="2271">
        <v>2057</v>
      </c>
      <c r="D9" s="2272">
        <f t="shared" si="0"/>
        <v>365688</v>
      </c>
      <c r="E9" s="2273">
        <v>365688</v>
      </c>
      <c r="F9" s="2272">
        <v>0</v>
      </c>
      <c r="G9" s="2275" t="s">
        <v>1015</v>
      </c>
      <c r="H9" s="2269"/>
      <c r="I9" s="2269"/>
      <c r="J9" s="2269"/>
    </row>
    <row r="10" spans="1:11" s="37" customFormat="1" ht="24.95" customHeight="1" thickBot="1">
      <c r="A10" s="3429" t="s">
        <v>10</v>
      </c>
      <c r="B10" s="3430"/>
      <c r="C10" s="3430"/>
      <c r="D10" s="2276">
        <f>SUM(D7:D9)</f>
        <v>3572101</v>
      </c>
      <c r="E10" s="2276">
        <f t="shared" ref="E10:F10" si="1">SUM(E7:E9)</f>
        <v>3572101</v>
      </c>
      <c r="F10" s="2276">
        <f t="shared" si="1"/>
        <v>0</v>
      </c>
      <c r="G10" s="2277"/>
      <c r="H10" s="2278"/>
      <c r="I10" s="2269"/>
      <c r="J10" s="2269"/>
    </row>
    <row r="11" spans="1:11" s="2284" customFormat="1" ht="20.25" customHeight="1">
      <c r="A11" s="2279"/>
      <c r="B11" s="2279"/>
      <c r="C11" s="2279"/>
      <c r="D11" s="2280"/>
      <c r="E11" s="2280"/>
      <c r="F11" s="2280"/>
      <c r="G11" s="2281"/>
      <c r="H11" s="2282"/>
      <c r="I11" s="2283"/>
      <c r="J11" s="2283"/>
    </row>
    <row r="12" spans="1:11" s="37" customFormat="1" ht="20.100000000000001" customHeight="1" thickBot="1">
      <c r="A12" s="3437" t="s">
        <v>11</v>
      </c>
      <c r="B12" s="3437"/>
      <c r="C12" s="3437"/>
      <c r="D12" s="3437"/>
      <c r="E12" s="3437"/>
      <c r="F12" s="3437"/>
      <c r="G12" s="3437"/>
      <c r="H12" s="2267"/>
      <c r="I12" s="2267"/>
      <c r="J12" s="2267"/>
      <c r="K12" s="2268"/>
    </row>
    <row r="13" spans="1:11" s="37" customFormat="1" ht="20.100000000000001" customHeight="1">
      <c r="A13" s="3438" t="s">
        <v>0</v>
      </c>
      <c r="B13" s="3440" t="s">
        <v>1</v>
      </c>
      <c r="C13" s="3440" t="s">
        <v>3</v>
      </c>
      <c r="D13" s="3442" t="s">
        <v>1013</v>
      </c>
      <c r="E13" s="3440" t="s">
        <v>2</v>
      </c>
      <c r="F13" s="3440"/>
      <c r="G13" s="3427" t="s">
        <v>85</v>
      </c>
      <c r="H13" s="2268"/>
      <c r="I13" s="2268"/>
      <c r="J13" s="2269"/>
    </row>
    <row r="14" spans="1:11" s="37" customFormat="1" ht="20.100000000000001" customHeight="1">
      <c r="A14" s="3439"/>
      <c r="B14" s="3441"/>
      <c r="C14" s="3441"/>
      <c r="D14" s="3443"/>
      <c r="E14" s="2270" t="s">
        <v>8</v>
      </c>
      <c r="F14" s="2270" t="s">
        <v>7</v>
      </c>
      <c r="G14" s="3428"/>
      <c r="H14" s="2268"/>
      <c r="I14" s="2268"/>
      <c r="J14" s="2269"/>
    </row>
    <row r="15" spans="1:11" s="37" customFormat="1" ht="50.1" customHeight="1">
      <c r="A15" s="2274">
        <v>853</v>
      </c>
      <c r="B15" s="2271">
        <v>85395</v>
      </c>
      <c r="C15" s="2271">
        <v>2009</v>
      </c>
      <c r="D15" s="2272">
        <f t="shared" ref="D15" si="2">SUM(E15:F15)</f>
        <v>3178000</v>
      </c>
      <c r="E15" s="2273">
        <v>3178000</v>
      </c>
      <c r="F15" s="2272">
        <v>0</v>
      </c>
      <c r="G15" s="2275" t="s">
        <v>1016</v>
      </c>
      <c r="H15" s="2269"/>
      <c r="I15" s="2269"/>
      <c r="J15" s="2269"/>
    </row>
    <row r="16" spans="1:11" s="37" customFormat="1" ht="24.95" customHeight="1" thickBot="1">
      <c r="A16" s="3429" t="s">
        <v>10</v>
      </c>
      <c r="B16" s="3430"/>
      <c r="C16" s="3430"/>
      <c r="D16" s="2276">
        <f>SUM(D15:D15)</f>
        <v>3178000</v>
      </c>
      <c r="E16" s="2276">
        <f>SUM(E15:E15)</f>
        <v>3178000</v>
      </c>
      <c r="F16" s="2276">
        <f>SUM(F15:F15)</f>
        <v>0</v>
      </c>
      <c r="G16" s="2277"/>
      <c r="H16" s="2278"/>
      <c r="I16" s="2269"/>
      <c r="J16" s="2269"/>
    </row>
    <row r="17" spans="1:10">
      <c r="A17" s="2285"/>
      <c r="B17" s="2286"/>
      <c r="C17" s="2287"/>
      <c r="D17" s="2287"/>
      <c r="E17" s="2287"/>
      <c r="F17" s="2287"/>
      <c r="G17" s="2288"/>
      <c r="H17" s="2289"/>
      <c r="I17" s="2"/>
      <c r="J17" s="2"/>
    </row>
    <row r="18" spans="1:10">
      <c r="A18" s="2285"/>
      <c r="B18" s="2286"/>
      <c r="C18" s="2287"/>
      <c r="D18" s="2290"/>
      <c r="E18" s="2290"/>
      <c r="F18" s="2290"/>
      <c r="G18" s="2291"/>
      <c r="H18" s="2289"/>
      <c r="I18" s="2"/>
      <c r="J18" s="2"/>
    </row>
    <row r="19" spans="1:10">
      <c r="A19" s="2292"/>
      <c r="B19" s="2286"/>
      <c r="C19" s="2287"/>
      <c r="D19" s="2287"/>
      <c r="E19" s="2287"/>
      <c r="F19" s="2287"/>
      <c r="G19" s="2293"/>
      <c r="H19" s="2289"/>
      <c r="I19" s="2"/>
      <c r="J19" s="2"/>
    </row>
    <row r="20" spans="1:10">
      <c r="A20" s="2292"/>
      <c r="B20" s="2286"/>
      <c r="C20" s="2287"/>
      <c r="D20" s="2287"/>
      <c r="E20" s="2294"/>
      <c r="F20" s="2295"/>
      <c r="G20" s="2293"/>
      <c r="H20" s="2289"/>
      <c r="I20" s="2"/>
      <c r="J20" s="2"/>
    </row>
    <row r="21" spans="1:10">
      <c r="A21" s="2292"/>
      <c r="B21" s="2286"/>
      <c r="C21" s="2287"/>
      <c r="D21" s="2287"/>
      <c r="E21" s="2287"/>
      <c r="F21" s="2287"/>
      <c r="G21" s="2293"/>
      <c r="H21" s="2289"/>
      <c r="I21" s="2"/>
      <c r="J21" s="2"/>
    </row>
    <row r="22" spans="1:10" s="2301" customFormat="1">
      <c r="A22" s="2296"/>
      <c r="B22" s="2286"/>
      <c r="C22" s="2297"/>
      <c r="D22" s="2297"/>
      <c r="E22" s="2294"/>
      <c r="F22" s="2293"/>
      <c r="G22" s="2298"/>
      <c r="H22" s="2299"/>
      <c r="I22" s="2300"/>
      <c r="J22" s="2300"/>
    </row>
    <row r="23" spans="1:10">
      <c r="A23" s="2294"/>
      <c r="B23" s="2294"/>
      <c r="C23" s="2294"/>
      <c r="D23" s="2302"/>
      <c r="E23" s="2287"/>
      <c r="F23" s="2287"/>
      <c r="G23" s="2294"/>
      <c r="H23" s="4"/>
      <c r="I23" s="4"/>
    </row>
    <row r="24" spans="1:10">
      <c r="G24" s="4"/>
      <c r="H24" s="4"/>
      <c r="I24" s="4"/>
    </row>
    <row r="25" spans="1:10">
      <c r="E25" s="2"/>
      <c r="F25" s="2"/>
    </row>
  </sheetData>
  <mergeCells count="21">
    <mergeCell ref="A1:B1"/>
    <mergeCell ref="A2:G2"/>
    <mergeCell ref="A4:G4"/>
    <mergeCell ref="A5:A6"/>
    <mergeCell ref="B5:B6"/>
    <mergeCell ref="C5:C6"/>
    <mergeCell ref="D5:D6"/>
    <mergeCell ref="E5:F5"/>
    <mergeCell ref="G5:G6"/>
    <mergeCell ref="G13:G14"/>
    <mergeCell ref="A16:C16"/>
    <mergeCell ref="A7:A8"/>
    <mergeCell ref="B7:B8"/>
    <mergeCell ref="G7:G8"/>
    <mergeCell ref="A10:C10"/>
    <mergeCell ref="A12:G12"/>
    <mergeCell ref="A13:A14"/>
    <mergeCell ref="B13:B14"/>
    <mergeCell ref="C13:C14"/>
    <mergeCell ref="D13:D14"/>
    <mergeCell ref="E13:F13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85" orientation="landscape" r:id="rId1"/>
  <headerFooter alignWithMargins="0"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0"/>
  <sheetViews>
    <sheetView view="pageBreakPreview" zoomScaleSheetLayoutView="100" workbookViewId="0">
      <selection activeCell="H4" sqref="H4"/>
    </sheetView>
  </sheetViews>
  <sheetFormatPr defaultRowHeight="12.75"/>
  <cols>
    <col min="1" max="6" width="12.7109375" style="1" customWidth="1"/>
    <col min="7" max="7" width="60.7109375" style="1" customWidth="1"/>
    <col min="8" max="8" width="19.7109375" style="1" customWidth="1"/>
    <col min="9" max="9" width="9.140625" style="1"/>
    <col min="10" max="10" width="11.140625" style="1" bestFit="1" customWidth="1"/>
    <col min="11" max="256" width="9.140625" style="1"/>
    <col min="257" max="257" width="7.7109375" style="1" customWidth="1"/>
    <col min="258" max="258" width="10.5703125" style="1" customWidth="1"/>
    <col min="259" max="259" width="11.140625" style="1" bestFit="1" customWidth="1"/>
    <col min="260" max="260" width="22.140625" style="1" bestFit="1" customWidth="1"/>
    <col min="261" max="261" width="12.28515625" style="1" customWidth="1"/>
    <col min="262" max="262" width="12.5703125" style="1" customWidth="1"/>
    <col min="263" max="263" width="12.140625" style="1" customWidth="1"/>
    <col min="264" max="264" width="19.7109375" style="1" customWidth="1"/>
    <col min="265" max="512" width="9.140625" style="1"/>
    <col min="513" max="513" width="7.7109375" style="1" customWidth="1"/>
    <col min="514" max="514" width="10.5703125" style="1" customWidth="1"/>
    <col min="515" max="515" width="11.140625" style="1" bestFit="1" customWidth="1"/>
    <col min="516" max="516" width="22.140625" style="1" bestFit="1" customWidth="1"/>
    <col min="517" max="517" width="12.28515625" style="1" customWidth="1"/>
    <col min="518" max="518" width="12.5703125" style="1" customWidth="1"/>
    <col min="519" max="519" width="12.140625" style="1" customWidth="1"/>
    <col min="520" max="520" width="19.7109375" style="1" customWidth="1"/>
    <col min="521" max="768" width="9.140625" style="1"/>
    <col min="769" max="769" width="7.7109375" style="1" customWidth="1"/>
    <col min="770" max="770" width="10.5703125" style="1" customWidth="1"/>
    <col min="771" max="771" width="11.140625" style="1" bestFit="1" customWidth="1"/>
    <col min="772" max="772" width="22.140625" style="1" bestFit="1" customWidth="1"/>
    <col min="773" max="773" width="12.28515625" style="1" customWidth="1"/>
    <col min="774" max="774" width="12.5703125" style="1" customWidth="1"/>
    <col min="775" max="775" width="12.140625" style="1" customWidth="1"/>
    <col min="776" max="776" width="19.7109375" style="1" customWidth="1"/>
    <col min="777" max="1024" width="9.140625" style="1"/>
    <col min="1025" max="1025" width="7.7109375" style="1" customWidth="1"/>
    <col min="1026" max="1026" width="10.5703125" style="1" customWidth="1"/>
    <col min="1027" max="1027" width="11.140625" style="1" bestFit="1" customWidth="1"/>
    <col min="1028" max="1028" width="22.140625" style="1" bestFit="1" customWidth="1"/>
    <col min="1029" max="1029" width="12.28515625" style="1" customWidth="1"/>
    <col min="1030" max="1030" width="12.5703125" style="1" customWidth="1"/>
    <col min="1031" max="1031" width="12.140625" style="1" customWidth="1"/>
    <col min="1032" max="1032" width="19.7109375" style="1" customWidth="1"/>
    <col min="1033" max="1280" width="9.140625" style="1"/>
    <col min="1281" max="1281" width="7.7109375" style="1" customWidth="1"/>
    <col min="1282" max="1282" width="10.5703125" style="1" customWidth="1"/>
    <col min="1283" max="1283" width="11.140625" style="1" bestFit="1" customWidth="1"/>
    <col min="1284" max="1284" width="22.140625" style="1" bestFit="1" customWidth="1"/>
    <col min="1285" max="1285" width="12.28515625" style="1" customWidth="1"/>
    <col min="1286" max="1286" width="12.5703125" style="1" customWidth="1"/>
    <col min="1287" max="1287" width="12.140625" style="1" customWidth="1"/>
    <col min="1288" max="1288" width="19.7109375" style="1" customWidth="1"/>
    <col min="1289" max="1536" width="9.140625" style="1"/>
    <col min="1537" max="1537" width="7.7109375" style="1" customWidth="1"/>
    <col min="1538" max="1538" width="10.5703125" style="1" customWidth="1"/>
    <col min="1539" max="1539" width="11.140625" style="1" bestFit="1" customWidth="1"/>
    <col min="1540" max="1540" width="22.140625" style="1" bestFit="1" customWidth="1"/>
    <col min="1541" max="1541" width="12.28515625" style="1" customWidth="1"/>
    <col min="1542" max="1542" width="12.5703125" style="1" customWidth="1"/>
    <col min="1543" max="1543" width="12.140625" style="1" customWidth="1"/>
    <col min="1544" max="1544" width="19.7109375" style="1" customWidth="1"/>
    <col min="1545" max="1792" width="9.140625" style="1"/>
    <col min="1793" max="1793" width="7.7109375" style="1" customWidth="1"/>
    <col min="1794" max="1794" width="10.5703125" style="1" customWidth="1"/>
    <col min="1795" max="1795" width="11.140625" style="1" bestFit="1" customWidth="1"/>
    <col min="1796" max="1796" width="22.140625" style="1" bestFit="1" customWidth="1"/>
    <col min="1797" max="1797" width="12.28515625" style="1" customWidth="1"/>
    <col min="1798" max="1798" width="12.5703125" style="1" customWidth="1"/>
    <col min="1799" max="1799" width="12.140625" style="1" customWidth="1"/>
    <col min="1800" max="1800" width="19.7109375" style="1" customWidth="1"/>
    <col min="1801" max="2048" width="9.140625" style="1"/>
    <col min="2049" max="2049" width="7.7109375" style="1" customWidth="1"/>
    <col min="2050" max="2050" width="10.5703125" style="1" customWidth="1"/>
    <col min="2051" max="2051" width="11.140625" style="1" bestFit="1" customWidth="1"/>
    <col min="2052" max="2052" width="22.140625" style="1" bestFit="1" customWidth="1"/>
    <col min="2053" max="2053" width="12.28515625" style="1" customWidth="1"/>
    <col min="2054" max="2054" width="12.5703125" style="1" customWidth="1"/>
    <col min="2055" max="2055" width="12.140625" style="1" customWidth="1"/>
    <col min="2056" max="2056" width="19.7109375" style="1" customWidth="1"/>
    <col min="2057" max="2304" width="9.140625" style="1"/>
    <col min="2305" max="2305" width="7.7109375" style="1" customWidth="1"/>
    <col min="2306" max="2306" width="10.5703125" style="1" customWidth="1"/>
    <col min="2307" max="2307" width="11.140625" style="1" bestFit="1" customWidth="1"/>
    <col min="2308" max="2308" width="22.140625" style="1" bestFit="1" customWidth="1"/>
    <col min="2309" max="2309" width="12.28515625" style="1" customWidth="1"/>
    <col min="2310" max="2310" width="12.5703125" style="1" customWidth="1"/>
    <col min="2311" max="2311" width="12.140625" style="1" customWidth="1"/>
    <col min="2312" max="2312" width="19.7109375" style="1" customWidth="1"/>
    <col min="2313" max="2560" width="9.140625" style="1"/>
    <col min="2561" max="2561" width="7.7109375" style="1" customWidth="1"/>
    <col min="2562" max="2562" width="10.5703125" style="1" customWidth="1"/>
    <col min="2563" max="2563" width="11.140625" style="1" bestFit="1" customWidth="1"/>
    <col min="2564" max="2564" width="22.140625" style="1" bestFit="1" customWidth="1"/>
    <col min="2565" max="2565" width="12.28515625" style="1" customWidth="1"/>
    <col min="2566" max="2566" width="12.5703125" style="1" customWidth="1"/>
    <col min="2567" max="2567" width="12.140625" style="1" customWidth="1"/>
    <col min="2568" max="2568" width="19.7109375" style="1" customWidth="1"/>
    <col min="2569" max="2816" width="9.140625" style="1"/>
    <col min="2817" max="2817" width="7.7109375" style="1" customWidth="1"/>
    <col min="2818" max="2818" width="10.5703125" style="1" customWidth="1"/>
    <col min="2819" max="2819" width="11.140625" style="1" bestFit="1" customWidth="1"/>
    <col min="2820" max="2820" width="22.140625" style="1" bestFit="1" customWidth="1"/>
    <col min="2821" max="2821" width="12.28515625" style="1" customWidth="1"/>
    <col min="2822" max="2822" width="12.5703125" style="1" customWidth="1"/>
    <col min="2823" max="2823" width="12.140625" style="1" customWidth="1"/>
    <col min="2824" max="2824" width="19.7109375" style="1" customWidth="1"/>
    <col min="2825" max="3072" width="9.140625" style="1"/>
    <col min="3073" max="3073" width="7.7109375" style="1" customWidth="1"/>
    <col min="3074" max="3074" width="10.5703125" style="1" customWidth="1"/>
    <col min="3075" max="3075" width="11.140625" style="1" bestFit="1" customWidth="1"/>
    <col min="3076" max="3076" width="22.140625" style="1" bestFit="1" customWidth="1"/>
    <col min="3077" max="3077" width="12.28515625" style="1" customWidth="1"/>
    <col min="3078" max="3078" width="12.5703125" style="1" customWidth="1"/>
    <col min="3079" max="3079" width="12.140625" style="1" customWidth="1"/>
    <col min="3080" max="3080" width="19.7109375" style="1" customWidth="1"/>
    <col min="3081" max="3328" width="9.140625" style="1"/>
    <col min="3329" max="3329" width="7.7109375" style="1" customWidth="1"/>
    <col min="3330" max="3330" width="10.5703125" style="1" customWidth="1"/>
    <col min="3331" max="3331" width="11.140625" style="1" bestFit="1" customWidth="1"/>
    <col min="3332" max="3332" width="22.140625" style="1" bestFit="1" customWidth="1"/>
    <col min="3333" max="3333" width="12.28515625" style="1" customWidth="1"/>
    <col min="3334" max="3334" width="12.5703125" style="1" customWidth="1"/>
    <col min="3335" max="3335" width="12.140625" style="1" customWidth="1"/>
    <col min="3336" max="3336" width="19.7109375" style="1" customWidth="1"/>
    <col min="3337" max="3584" width="9.140625" style="1"/>
    <col min="3585" max="3585" width="7.7109375" style="1" customWidth="1"/>
    <col min="3586" max="3586" width="10.5703125" style="1" customWidth="1"/>
    <col min="3587" max="3587" width="11.140625" style="1" bestFit="1" customWidth="1"/>
    <col min="3588" max="3588" width="22.140625" style="1" bestFit="1" customWidth="1"/>
    <col min="3589" max="3589" width="12.28515625" style="1" customWidth="1"/>
    <col min="3590" max="3590" width="12.5703125" style="1" customWidth="1"/>
    <col min="3591" max="3591" width="12.140625" style="1" customWidth="1"/>
    <col min="3592" max="3592" width="19.7109375" style="1" customWidth="1"/>
    <col min="3593" max="3840" width="9.140625" style="1"/>
    <col min="3841" max="3841" width="7.7109375" style="1" customWidth="1"/>
    <col min="3842" max="3842" width="10.5703125" style="1" customWidth="1"/>
    <col min="3843" max="3843" width="11.140625" style="1" bestFit="1" customWidth="1"/>
    <col min="3844" max="3844" width="22.140625" style="1" bestFit="1" customWidth="1"/>
    <col min="3845" max="3845" width="12.28515625" style="1" customWidth="1"/>
    <col min="3846" max="3846" width="12.5703125" style="1" customWidth="1"/>
    <col min="3847" max="3847" width="12.140625" style="1" customWidth="1"/>
    <col min="3848" max="3848" width="19.7109375" style="1" customWidth="1"/>
    <col min="3849" max="4096" width="9.140625" style="1"/>
    <col min="4097" max="4097" width="7.7109375" style="1" customWidth="1"/>
    <col min="4098" max="4098" width="10.5703125" style="1" customWidth="1"/>
    <col min="4099" max="4099" width="11.140625" style="1" bestFit="1" customWidth="1"/>
    <col min="4100" max="4100" width="22.140625" style="1" bestFit="1" customWidth="1"/>
    <col min="4101" max="4101" width="12.28515625" style="1" customWidth="1"/>
    <col min="4102" max="4102" width="12.5703125" style="1" customWidth="1"/>
    <col min="4103" max="4103" width="12.140625" style="1" customWidth="1"/>
    <col min="4104" max="4104" width="19.7109375" style="1" customWidth="1"/>
    <col min="4105" max="4352" width="9.140625" style="1"/>
    <col min="4353" max="4353" width="7.7109375" style="1" customWidth="1"/>
    <col min="4354" max="4354" width="10.5703125" style="1" customWidth="1"/>
    <col min="4355" max="4355" width="11.140625" style="1" bestFit="1" customWidth="1"/>
    <col min="4356" max="4356" width="22.140625" style="1" bestFit="1" customWidth="1"/>
    <col min="4357" max="4357" width="12.28515625" style="1" customWidth="1"/>
    <col min="4358" max="4358" width="12.5703125" style="1" customWidth="1"/>
    <col min="4359" max="4359" width="12.140625" style="1" customWidth="1"/>
    <col min="4360" max="4360" width="19.7109375" style="1" customWidth="1"/>
    <col min="4361" max="4608" width="9.140625" style="1"/>
    <col min="4609" max="4609" width="7.7109375" style="1" customWidth="1"/>
    <col min="4610" max="4610" width="10.5703125" style="1" customWidth="1"/>
    <col min="4611" max="4611" width="11.140625" style="1" bestFit="1" customWidth="1"/>
    <col min="4612" max="4612" width="22.140625" style="1" bestFit="1" customWidth="1"/>
    <col min="4613" max="4613" width="12.28515625" style="1" customWidth="1"/>
    <col min="4614" max="4614" width="12.5703125" style="1" customWidth="1"/>
    <col min="4615" max="4615" width="12.140625" style="1" customWidth="1"/>
    <col min="4616" max="4616" width="19.7109375" style="1" customWidth="1"/>
    <col min="4617" max="4864" width="9.140625" style="1"/>
    <col min="4865" max="4865" width="7.7109375" style="1" customWidth="1"/>
    <col min="4866" max="4866" width="10.5703125" style="1" customWidth="1"/>
    <col min="4867" max="4867" width="11.140625" style="1" bestFit="1" customWidth="1"/>
    <col min="4868" max="4868" width="22.140625" style="1" bestFit="1" customWidth="1"/>
    <col min="4869" max="4869" width="12.28515625" style="1" customWidth="1"/>
    <col min="4870" max="4870" width="12.5703125" style="1" customWidth="1"/>
    <col min="4871" max="4871" width="12.140625" style="1" customWidth="1"/>
    <col min="4872" max="4872" width="19.7109375" style="1" customWidth="1"/>
    <col min="4873" max="5120" width="9.140625" style="1"/>
    <col min="5121" max="5121" width="7.7109375" style="1" customWidth="1"/>
    <col min="5122" max="5122" width="10.5703125" style="1" customWidth="1"/>
    <col min="5123" max="5123" width="11.140625" style="1" bestFit="1" customWidth="1"/>
    <col min="5124" max="5124" width="22.140625" style="1" bestFit="1" customWidth="1"/>
    <col min="5125" max="5125" width="12.28515625" style="1" customWidth="1"/>
    <col min="5126" max="5126" width="12.5703125" style="1" customWidth="1"/>
    <col min="5127" max="5127" width="12.140625" style="1" customWidth="1"/>
    <col min="5128" max="5128" width="19.7109375" style="1" customWidth="1"/>
    <col min="5129" max="5376" width="9.140625" style="1"/>
    <col min="5377" max="5377" width="7.7109375" style="1" customWidth="1"/>
    <col min="5378" max="5378" width="10.5703125" style="1" customWidth="1"/>
    <col min="5379" max="5379" width="11.140625" style="1" bestFit="1" customWidth="1"/>
    <col min="5380" max="5380" width="22.140625" style="1" bestFit="1" customWidth="1"/>
    <col min="5381" max="5381" width="12.28515625" style="1" customWidth="1"/>
    <col min="5382" max="5382" width="12.5703125" style="1" customWidth="1"/>
    <col min="5383" max="5383" width="12.140625" style="1" customWidth="1"/>
    <col min="5384" max="5384" width="19.7109375" style="1" customWidth="1"/>
    <col min="5385" max="5632" width="9.140625" style="1"/>
    <col min="5633" max="5633" width="7.7109375" style="1" customWidth="1"/>
    <col min="5634" max="5634" width="10.5703125" style="1" customWidth="1"/>
    <col min="5635" max="5635" width="11.140625" style="1" bestFit="1" customWidth="1"/>
    <col min="5636" max="5636" width="22.140625" style="1" bestFit="1" customWidth="1"/>
    <col min="5637" max="5637" width="12.28515625" style="1" customWidth="1"/>
    <col min="5638" max="5638" width="12.5703125" style="1" customWidth="1"/>
    <col min="5639" max="5639" width="12.140625" style="1" customWidth="1"/>
    <col min="5640" max="5640" width="19.7109375" style="1" customWidth="1"/>
    <col min="5641" max="5888" width="9.140625" style="1"/>
    <col min="5889" max="5889" width="7.7109375" style="1" customWidth="1"/>
    <col min="5890" max="5890" width="10.5703125" style="1" customWidth="1"/>
    <col min="5891" max="5891" width="11.140625" style="1" bestFit="1" customWidth="1"/>
    <col min="5892" max="5892" width="22.140625" style="1" bestFit="1" customWidth="1"/>
    <col min="5893" max="5893" width="12.28515625" style="1" customWidth="1"/>
    <col min="5894" max="5894" width="12.5703125" style="1" customWidth="1"/>
    <col min="5895" max="5895" width="12.140625" style="1" customWidth="1"/>
    <col min="5896" max="5896" width="19.7109375" style="1" customWidth="1"/>
    <col min="5897" max="6144" width="9.140625" style="1"/>
    <col min="6145" max="6145" width="7.7109375" style="1" customWidth="1"/>
    <col min="6146" max="6146" width="10.5703125" style="1" customWidth="1"/>
    <col min="6147" max="6147" width="11.140625" style="1" bestFit="1" customWidth="1"/>
    <col min="6148" max="6148" width="22.140625" style="1" bestFit="1" customWidth="1"/>
    <col min="6149" max="6149" width="12.28515625" style="1" customWidth="1"/>
    <col min="6150" max="6150" width="12.5703125" style="1" customWidth="1"/>
    <col min="6151" max="6151" width="12.140625" style="1" customWidth="1"/>
    <col min="6152" max="6152" width="19.7109375" style="1" customWidth="1"/>
    <col min="6153" max="6400" width="9.140625" style="1"/>
    <col min="6401" max="6401" width="7.7109375" style="1" customWidth="1"/>
    <col min="6402" max="6402" width="10.5703125" style="1" customWidth="1"/>
    <col min="6403" max="6403" width="11.140625" style="1" bestFit="1" customWidth="1"/>
    <col min="6404" max="6404" width="22.140625" style="1" bestFit="1" customWidth="1"/>
    <col min="6405" max="6405" width="12.28515625" style="1" customWidth="1"/>
    <col min="6406" max="6406" width="12.5703125" style="1" customWidth="1"/>
    <col min="6407" max="6407" width="12.140625" style="1" customWidth="1"/>
    <col min="6408" max="6408" width="19.7109375" style="1" customWidth="1"/>
    <col min="6409" max="6656" width="9.140625" style="1"/>
    <col min="6657" max="6657" width="7.7109375" style="1" customWidth="1"/>
    <col min="6658" max="6658" width="10.5703125" style="1" customWidth="1"/>
    <col min="6659" max="6659" width="11.140625" style="1" bestFit="1" customWidth="1"/>
    <col min="6660" max="6660" width="22.140625" style="1" bestFit="1" customWidth="1"/>
    <col min="6661" max="6661" width="12.28515625" style="1" customWidth="1"/>
    <col min="6662" max="6662" width="12.5703125" style="1" customWidth="1"/>
    <col min="6663" max="6663" width="12.140625" style="1" customWidth="1"/>
    <col min="6664" max="6664" width="19.7109375" style="1" customWidth="1"/>
    <col min="6665" max="6912" width="9.140625" style="1"/>
    <col min="6913" max="6913" width="7.7109375" style="1" customWidth="1"/>
    <col min="6914" max="6914" width="10.5703125" style="1" customWidth="1"/>
    <col min="6915" max="6915" width="11.140625" style="1" bestFit="1" customWidth="1"/>
    <col min="6916" max="6916" width="22.140625" style="1" bestFit="1" customWidth="1"/>
    <col min="6917" max="6917" width="12.28515625" style="1" customWidth="1"/>
    <col min="6918" max="6918" width="12.5703125" style="1" customWidth="1"/>
    <col min="6919" max="6919" width="12.140625" style="1" customWidth="1"/>
    <col min="6920" max="6920" width="19.7109375" style="1" customWidth="1"/>
    <col min="6921" max="7168" width="9.140625" style="1"/>
    <col min="7169" max="7169" width="7.7109375" style="1" customWidth="1"/>
    <col min="7170" max="7170" width="10.5703125" style="1" customWidth="1"/>
    <col min="7171" max="7171" width="11.140625" style="1" bestFit="1" customWidth="1"/>
    <col min="7172" max="7172" width="22.140625" style="1" bestFit="1" customWidth="1"/>
    <col min="7173" max="7173" width="12.28515625" style="1" customWidth="1"/>
    <col min="7174" max="7174" width="12.5703125" style="1" customWidth="1"/>
    <col min="7175" max="7175" width="12.140625" style="1" customWidth="1"/>
    <col min="7176" max="7176" width="19.7109375" style="1" customWidth="1"/>
    <col min="7177" max="7424" width="9.140625" style="1"/>
    <col min="7425" max="7425" width="7.7109375" style="1" customWidth="1"/>
    <col min="7426" max="7426" width="10.5703125" style="1" customWidth="1"/>
    <col min="7427" max="7427" width="11.140625" style="1" bestFit="1" customWidth="1"/>
    <col min="7428" max="7428" width="22.140625" style="1" bestFit="1" customWidth="1"/>
    <col min="7429" max="7429" width="12.28515625" style="1" customWidth="1"/>
    <col min="7430" max="7430" width="12.5703125" style="1" customWidth="1"/>
    <col min="7431" max="7431" width="12.140625" style="1" customWidth="1"/>
    <col min="7432" max="7432" width="19.7109375" style="1" customWidth="1"/>
    <col min="7433" max="7680" width="9.140625" style="1"/>
    <col min="7681" max="7681" width="7.7109375" style="1" customWidth="1"/>
    <col min="7682" max="7682" width="10.5703125" style="1" customWidth="1"/>
    <col min="7683" max="7683" width="11.140625" style="1" bestFit="1" customWidth="1"/>
    <col min="7684" max="7684" width="22.140625" style="1" bestFit="1" customWidth="1"/>
    <col min="7685" max="7685" width="12.28515625" style="1" customWidth="1"/>
    <col min="7686" max="7686" width="12.5703125" style="1" customWidth="1"/>
    <col min="7687" max="7687" width="12.140625" style="1" customWidth="1"/>
    <col min="7688" max="7688" width="19.7109375" style="1" customWidth="1"/>
    <col min="7689" max="7936" width="9.140625" style="1"/>
    <col min="7937" max="7937" width="7.7109375" style="1" customWidth="1"/>
    <col min="7938" max="7938" width="10.5703125" style="1" customWidth="1"/>
    <col min="7939" max="7939" width="11.140625" style="1" bestFit="1" customWidth="1"/>
    <col min="7940" max="7940" width="22.140625" style="1" bestFit="1" customWidth="1"/>
    <col min="7941" max="7941" width="12.28515625" style="1" customWidth="1"/>
    <col min="7942" max="7942" width="12.5703125" style="1" customWidth="1"/>
    <col min="7943" max="7943" width="12.140625" style="1" customWidth="1"/>
    <col min="7944" max="7944" width="19.7109375" style="1" customWidth="1"/>
    <col min="7945" max="8192" width="9.140625" style="1"/>
    <col min="8193" max="8193" width="7.7109375" style="1" customWidth="1"/>
    <col min="8194" max="8194" width="10.5703125" style="1" customWidth="1"/>
    <col min="8195" max="8195" width="11.140625" style="1" bestFit="1" customWidth="1"/>
    <col min="8196" max="8196" width="22.140625" style="1" bestFit="1" customWidth="1"/>
    <col min="8197" max="8197" width="12.28515625" style="1" customWidth="1"/>
    <col min="8198" max="8198" width="12.5703125" style="1" customWidth="1"/>
    <col min="8199" max="8199" width="12.140625" style="1" customWidth="1"/>
    <col min="8200" max="8200" width="19.7109375" style="1" customWidth="1"/>
    <col min="8201" max="8448" width="9.140625" style="1"/>
    <col min="8449" max="8449" width="7.7109375" style="1" customWidth="1"/>
    <col min="8450" max="8450" width="10.5703125" style="1" customWidth="1"/>
    <col min="8451" max="8451" width="11.140625" style="1" bestFit="1" customWidth="1"/>
    <col min="8452" max="8452" width="22.140625" style="1" bestFit="1" customWidth="1"/>
    <col min="8453" max="8453" width="12.28515625" style="1" customWidth="1"/>
    <col min="8454" max="8454" width="12.5703125" style="1" customWidth="1"/>
    <col min="8455" max="8455" width="12.140625" style="1" customWidth="1"/>
    <col min="8456" max="8456" width="19.7109375" style="1" customWidth="1"/>
    <col min="8457" max="8704" width="9.140625" style="1"/>
    <col min="8705" max="8705" width="7.7109375" style="1" customWidth="1"/>
    <col min="8706" max="8706" width="10.5703125" style="1" customWidth="1"/>
    <col min="8707" max="8707" width="11.140625" style="1" bestFit="1" customWidth="1"/>
    <col min="8708" max="8708" width="22.140625" style="1" bestFit="1" customWidth="1"/>
    <col min="8709" max="8709" width="12.28515625" style="1" customWidth="1"/>
    <col min="8710" max="8710" width="12.5703125" style="1" customWidth="1"/>
    <col min="8711" max="8711" width="12.140625" style="1" customWidth="1"/>
    <col min="8712" max="8712" width="19.7109375" style="1" customWidth="1"/>
    <col min="8713" max="8960" width="9.140625" style="1"/>
    <col min="8961" max="8961" width="7.7109375" style="1" customWidth="1"/>
    <col min="8962" max="8962" width="10.5703125" style="1" customWidth="1"/>
    <col min="8963" max="8963" width="11.140625" style="1" bestFit="1" customWidth="1"/>
    <col min="8964" max="8964" width="22.140625" style="1" bestFit="1" customWidth="1"/>
    <col min="8965" max="8965" width="12.28515625" style="1" customWidth="1"/>
    <col min="8966" max="8966" width="12.5703125" style="1" customWidth="1"/>
    <col min="8967" max="8967" width="12.140625" style="1" customWidth="1"/>
    <col min="8968" max="8968" width="19.7109375" style="1" customWidth="1"/>
    <col min="8969" max="9216" width="9.140625" style="1"/>
    <col min="9217" max="9217" width="7.7109375" style="1" customWidth="1"/>
    <col min="9218" max="9218" width="10.5703125" style="1" customWidth="1"/>
    <col min="9219" max="9219" width="11.140625" style="1" bestFit="1" customWidth="1"/>
    <col min="9220" max="9220" width="22.140625" style="1" bestFit="1" customWidth="1"/>
    <col min="9221" max="9221" width="12.28515625" style="1" customWidth="1"/>
    <col min="9222" max="9222" width="12.5703125" style="1" customWidth="1"/>
    <col min="9223" max="9223" width="12.140625" style="1" customWidth="1"/>
    <col min="9224" max="9224" width="19.7109375" style="1" customWidth="1"/>
    <col min="9225" max="9472" width="9.140625" style="1"/>
    <col min="9473" max="9473" width="7.7109375" style="1" customWidth="1"/>
    <col min="9474" max="9474" width="10.5703125" style="1" customWidth="1"/>
    <col min="9475" max="9475" width="11.140625" style="1" bestFit="1" customWidth="1"/>
    <col min="9476" max="9476" width="22.140625" style="1" bestFit="1" customWidth="1"/>
    <col min="9477" max="9477" width="12.28515625" style="1" customWidth="1"/>
    <col min="9478" max="9478" width="12.5703125" style="1" customWidth="1"/>
    <col min="9479" max="9479" width="12.140625" style="1" customWidth="1"/>
    <col min="9480" max="9480" width="19.7109375" style="1" customWidth="1"/>
    <col min="9481" max="9728" width="9.140625" style="1"/>
    <col min="9729" max="9729" width="7.7109375" style="1" customWidth="1"/>
    <col min="9730" max="9730" width="10.5703125" style="1" customWidth="1"/>
    <col min="9731" max="9731" width="11.140625" style="1" bestFit="1" customWidth="1"/>
    <col min="9732" max="9732" width="22.140625" style="1" bestFit="1" customWidth="1"/>
    <col min="9733" max="9733" width="12.28515625" style="1" customWidth="1"/>
    <col min="9734" max="9734" width="12.5703125" style="1" customWidth="1"/>
    <col min="9735" max="9735" width="12.140625" style="1" customWidth="1"/>
    <col min="9736" max="9736" width="19.7109375" style="1" customWidth="1"/>
    <col min="9737" max="9984" width="9.140625" style="1"/>
    <col min="9985" max="9985" width="7.7109375" style="1" customWidth="1"/>
    <col min="9986" max="9986" width="10.5703125" style="1" customWidth="1"/>
    <col min="9987" max="9987" width="11.140625" style="1" bestFit="1" customWidth="1"/>
    <col min="9988" max="9988" width="22.140625" style="1" bestFit="1" customWidth="1"/>
    <col min="9989" max="9989" width="12.28515625" style="1" customWidth="1"/>
    <col min="9990" max="9990" width="12.5703125" style="1" customWidth="1"/>
    <col min="9991" max="9991" width="12.140625" style="1" customWidth="1"/>
    <col min="9992" max="9992" width="19.7109375" style="1" customWidth="1"/>
    <col min="9993" max="10240" width="9.140625" style="1"/>
    <col min="10241" max="10241" width="7.7109375" style="1" customWidth="1"/>
    <col min="10242" max="10242" width="10.5703125" style="1" customWidth="1"/>
    <col min="10243" max="10243" width="11.140625" style="1" bestFit="1" customWidth="1"/>
    <col min="10244" max="10244" width="22.140625" style="1" bestFit="1" customWidth="1"/>
    <col min="10245" max="10245" width="12.28515625" style="1" customWidth="1"/>
    <col min="10246" max="10246" width="12.5703125" style="1" customWidth="1"/>
    <col min="10247" max="10247" width="12.140625" style="1" customWidth="1"/>
    <col min="10248" max="10248" width="19.7109375" style="1" customWidth="1"/>
    <col min="10249" max="10496" width="9.140625" style="1"/>
    <col min="10497" max="10497" width="7.7109375" style="1" customWidth="1"/>
    <col min="10498" max="10498" width="10.5703125" style="1" customWidth="1"/>
    <col min="10499" max="10499" width="11.140625" style="1" bestFit="1" customWidth="1"/>
    <col min="10500" max="10500" width="22.140625" style="1" bestFit="1" customWidth="1"/>
    <col min="10501" max="10501" width="12.28515625" style="1" customWidth="1"/>
    <col min="10502" max="10502" width="12.5703125" style="1" customWidth="1"/>
    <col min="10503" max="10503" width="12.140625" style="1" customWidth="1"/>
    <col min="10504" max="10504" width="19.7109375" style="1" customWidth="1"/>
    <col min="10505" max="10752" width="9.140625" style="1"/>
    <col min="10753" max="10753" width="7.7109375" style="1" customWidth="1"/>
    <col min="10754" max="10754" width="10.5703125" style="1" customWidth="1"/>
    <col min="10755" max="10755" width="11.140625" style="1" bestFit="1" customWidth="1"/>
    <col min="10756" max="10756" width="22.140625" style="1" bestFit="1" customWidth="1"/>
    <col min="10757" max="10757" width="12.28515625" style="1" customWidth="1"/>
    <col min="10758" max="10758" width="12.5703125" style="1" customWidth="1"/>
    <col min="10759" max="10759" width="12.140625" style="1" customWidth="1"/>
    <col min="10760" max="10760" width="19.7109375" style="1" customWidth="1"/>
    <col min="10761" max="11008" width="9.140625" style="1"/>
    <col min="11009" max="11009" width="7.7109375" style="1" customWidth="1"/>
    <col min="11010" max="11010" width="10.5703125" style="1" customWidth="1"/>
    <col min="11011" max="11011" width="11.140625" style="1" bestFit="1" customWidth="1"/>
    <col min="11012" max="11012" width="22.140625" style="1" bestFit="1" customWidth="1"/>
    <col min="11013" max="11013" width="12.28515625" style="1" customWidth="1"/>
    <col min="11014" max="11014" width="12.5703125" style="1" customWidth="1"/>
    <col min="11015" max="11015" width="12.140625" style="1" customWidth="1"/>
    <col min="11016" max="11016" width="19.7109375" style="1" customWidth="1"/>
    <col min="11017" max="11264" width="9.140625" style="1"/>
    <col min="11265" max="11265" width="7.7109375" style="1" customWidth="1"/>
    <col min="11266" max="11266" width="10.5703125" style="1" customWidth="1"/>
    <col min="11267" max="11267" width="11.140625" style="1" bestFit="1" customWidth="1"/>
    <col min="11268" max="11268" width="22.140625" style="1" bestFit="1" customWidth="1"/>
    <col min="11269" max="11269" width="12.28515625" style="1" customWidth="1"/>
    <col min="11270" max="11270" width="12.5703125" style="1" customWidth="1"/>
    <col min="11271" max="11271" width="12.140625" style="1" customWidth="1"/>
    <col min="11272" max="11272" width="19.7109375" style="1" customWidth="1"/>
    <col min="11273" max="11520" width="9.140625" style="1"/>
    <col min="11521" max="11521" width="7.7109375" style="1" customWidth="1"/>
    <col min="11522" max="11522" width="10.5703125" style="1" customWidth="1"/>
    <col min="11523" max="11523" width="11.140625" style="1" bestFit="1" customWidth="1"/>
    <col min="11524" max="11524" width="22.140625" style="1" bestFit="1" customWidth="1"/>
    <col min="11525" max="11525" width="12.28515625" style="1" customWidth="1"/>
    <col min="11526" max="11526" width="12.5703125" style="1" customWidth="1"/>
    <col min="11527" max="11527" width="12.140625" style="1" customWidth="1"/>
    <col min="11528" max="11528" width="19.7109375" style="1" customWidth="1"/>
    <col min="11529" max="11776" width="9.140625" style="1"/>
    <col min="11777" max="11777" width="7.7109375" style="1" customWidth="1"/>
    <col min="11778" max="11778" width="10.5703125" style="1" customWidth="1"/>
    <col min="11779" max="11779" width="11.140625" style="1" bestFit="1" customWidth="1"/>
    <col min="11780" max="11780" width="22.140625" style="1" bestFit="1" customWidth="1"/>
    <col min="11781" max="11781" width="12.28515625" style="1" customWidth="1"/>
    <col min="11782" max="11782" width="12.5703125" style="1" customWidth="1"/>
    <col min="11783" max="11783" width="12.140625" style="1" customWidth="1"/>
    <col min="11784" max="11784" width="19.7109375" style="1" customWidth="1"/>
    <col min="11785" max="12032" width="9.140625" style="1"/>
    <col min="12033" max="12033" width="7.7109375" style="1" customWidth="1"/>
    <col min="12034" max="12034" width="10.5703125" style="1" customWidth="1"/>
    <col min="12035" max="12035" width="11.140625" style="1" bestFit="1" customWidth="1"/>
    <col min="12036" max="12036" width="22.140625" style="1" bestFit="1" customWidth="1"/>
    <col min="12037" max="12037" width="12.28515625" style="1" customWidth="1"/>
    <col min="12038" max="12038" width="12.5703125" style="1" customWidth="1"/>
    <col min="12039" max="12039" width="12.140625" style="1" customWidth="1"/>
    <col min="12040" max="12040" width="19.7109375" style="1" customWidth="1"/>
    <col min="12041" max="12288" width="9.140625" style="1"/>
    <col min="12289" max="12289" width="7.7109375" style="1" customWidth="1"/>
    <col min="12290" max="12290" width="10.5703125" style="1" customWidth="1"/>
    <col min="12291" max="12291" width="11.140625" style="1" bestFit="1" customWidth="1"/>
    <col min="12292" max="12292" width="22.140625" style="1" bestFit="1" customWidth="1"/>
    <col min="12293" max="12293" width="12.28515625" style="1" customWidth="1"/>
    <col min="12294" max="12294" width="12.5703125" style="1" customWidth="1"/>
    <col min="12295" max="12295" width="12.140625" style="1" customWidth="1"/>
    <col min="12296" max="12296" width="19.7109375" style="1" customWidth="1"/>
    <col min="12297" max="12544" width="9.140625" style="1"/>
    <col min="12545" max="12545" width="7.7109375" style="1" customWidth="1"/>
    <col min="12546" max="12546" width="10.5703125" style="1" customWidth="1"/>
    <col min="12547" max="12547" width="11.140625" style="1" bestFit="1" customWidth="1"/>
    <col min="12548" max="12548" width="22.140625" style="1" bestFit="1" customWidth="1"/>
    <col min="12549" max="12549" width="12.28515625" style="1" customWidth="1"/>
    <col min="12550" max="12550" width="12.5703125" style="1" customWidth="1"/>
    <col min="12551" max="12551" width="12.140625" style="1" customWidth="1"/>
    <col min="12552" max="12552" width="19.7109375" style="1" customWidth="1"/>
    <col min="12553" max="12800" width="9.140625" style="1"/>
    <col min="12801" max="12801" width="7.7109375" style="1" customWidth="1"/>
    <col min="12802" max="12802" width="10.5703125" style="1" customWidth="1"/>
    <col min="12803" max="12803" width="11.140625" style="1" bestFit="1" customWidth="1"/>
    <col min="12804" max="12804" width="22.140625" style="1" bestFit="1" customWidth="1"/>
    <col min="12805" max="12805" width="12.28515625" style="1" customWidth="1"/>
    <col min="12806" max="12806" width="12.5703125" style="1" customWidth="1"/>
    <col min="12807" max="12807" width="12.140625" style="1" customWidth="1"/>
    <col min="12808" max="12808" width="19.7109375" style="1" customWidth="1"/>
    <col min="12809" max="13056" width="9.140625" style="1"/>
    <col min="13057" max="13057" width="7.7109375" style="1" customWidth="1"/>
    <col min="13058" max="13058" width="10.5703125" style="1" customWidth="1"/>
    <col min="13059" max="13059" width="11.140625" style="1" bestFit="1" customWidth="1"/>
    <col min="13060" max="13060" width="22.140625" style="1" bestFit="1" customWidth="1"/>
    <col min="13061" max="13061" width="12.28515625" style="1" customWidth="1"/>
    <col min="13062" max="13062" width="12.5703125" style="1" customWidth="1"/>
    <col min="13063" max="13063" width="12.140625" style="1" customWidth="1"/>
    <col min="13064" max="13064" width="19.7109375" style="1" customWidth="1"/>
    <col min="13065" max="13312" width="9.140625" style="1"/>
    <col min="13313" max="13313" width="7.7109375" style="1" customWidth="1"/>
    <col min="13314" max="13314" width="10.5703125" style="1" customWidth="1"/>
    <col min="13315" max="13315" width="11.140625" style="1" bestFit="1" customWidth="1"/>
    <col min="13316" max="13316" width="22.140625" style="1" bestFit="1" customWidth="1"/>
    <col min="13317" max="13317" width="12.28515625" style="1" customWidth="1"/>
    <col min="13318" max="13318" width="12.5703125" style="1" customWidth="1"/>
    <col min="13319" max="13319" width="12.140625" style="1" customWidth="1"/>
    <col min="13320" max="13320" width="19.7109375" style="1" customWidth="1"/>
    <col min="13321" max="13568" width="9.140625" style="1"/>
    <col min="13569" max="13569" width="7.7109375" style="1" customWidth="1"/>
    <col min="13570" max="13570" width="10.5703125" style="1" customWidth="1"/>
    <col min="13571" max="13571" width="11.140625" style="1" bestFit="1" customWidth="1"/>
    <col min="13572" max="13572" width="22.140625" style="1" bestFit="1" customWidth="1"/>
    <col min="13573" max="13573" width="12.28515625" style="1" customWidth="1"/>
    <col min="13574" max="13574" width="12.5703125" style="1" customWidth="1"/>
    <col min="13575" max="13575" width="12.140625" style="1" customWidth="1"/>
    <col min="13576" max="13576" width="19.7109375" style="1" customWidth="1"/>
    <col min="13577" max="13824" width="9.140625" style="1"/>
    <col min="13825" max="13825" width="7.7109375" style="1" customWidth="1"/>
    <col min="13826" max="13826" width="10.5703125" style="1" customWidth="1"/>
    <col min="13827" max="13827" width="11.140625" style="1" bestFit="1" customWidth="1"/>
    <col min="13828" max="13828" width="22.140625" style="1" bestFit="1" customWidth="1"/>
    <col min="13829" max="13829" width="12.28515625" style="1" customWidth="1"/>
    <col min="13830" max="13830" width="12.5703125" style="1" customWidth="1"/>
    <col min="13831" max="13831" width="12.140625" style="1" customWidth="1"/>
    <col min="13832" max="13832" width="19.7109375" style="1" customWidth="1"/>
    <col min="13833" max="14080" width="9.140625" style="1"/>
    <col min="14081" max="14081" width="7.7109375" style="1" customWidth="1"/>
    <col min="14082" max="14082" width="10.5703125" style="1" customWidth="1"/>
    <col min="14083" max="14083" width="11.140625" style="1" bestFit="1" customWidth="1"/>
    <col min="14084" max="14084" width="22.140625" style="1" bestFit="1" customWidth="1"/>
    <col min="14085" max="14085" width="12.28515625" style="1" customWidth="1"/>
    <col min="14086" max="14086" width="12.5703125" style="1" customWidth="1"/>
    <col min="14087" max="14087" width="12.140625" style="1" customWidth="1"/>
    <col min="14088" max="14088" width="19.7109375" style="1" customWidth="1"/>
    <col min="14089" max="14336" width="9.140625" style="1"/>
    <col min="14337" max="14337" width="7.7109375" style="1" customWidth="1"/>
    <col min="14338" max="14338" width="10.5703125" style="1" customWidth="1"/>
    <col min="14339" max="14339" width="11.140625" style="1" bestFit="1" customWidth="1"/>
    <col min="14340" max="14340" width="22.140625" style="1" bestFit="1" customWidth="1"/>
    <col min="14341" max="14341" width="12.28515625" style="1" customWidth="1"/>
    <col min="14342" max="14342" width="12.5703125" style="1" customWidth="1"/>
    <col min="14343" max="14343" width="12.140625" style="1" customWidth="1"/>
    <col min="14344" max="14344" width="19.7109375" style="1" customWidth="1"/>
    <col min="14345" max="14592" width="9.140625" style="1"/>
    <col min="14593" max="14593" width="7.7109375" style="1" customWidth="1"/>
    <col min="14594" max="14594" width="10.5703125" style="1" customWidth="1"/>
    <col min="14595" max="14595" width="11.140625" style="1" bestFit="1" customWidth="1"/>
    <col min="14596" max="14596" width="22.140625" style="1" bestFit="1" customWidth="1"/>
    <col min="14597" max="14597" width="12.28515625" style="1" customWidth="1"/>
    <col min="14598" max="14598" width="12.5703125" style="1" customWidth="1"/>
    <col min="14599" max="14599" width="12.140625" style="1" customWidth="1"/>
    <col min="14600" max="14600" width="19.7109375" style="1" customWidth="1"/>
    <col min="14601" max="14848" width="9.140625" style="1"/>
    <col min="14849" max="14849" width="7.7109375" style="1" customWidth="1"/>
    <col min="14850" max="14850" width="10.5703125" style="1" customWidth="1"/>
    <col min="14851" max="14851" width="11.140625" style="1" bestFit="1" customWidth="1"/>
    <col min="14852" max="14852" width="22.140625" style="1" bestFit="1" customWidth="1"/>
    <col min="14853" max="14853" width="12.28515625" style="1" customWidth="1"/>
    <col min="14854" max="14854" width="12.5703125" style="1" customWidth="1"/>
    <col min="14855" max="14855" width="12.140625" style="1" customWidth="1"/>
    <col min="14856" max="14856" width="19.7109375" style="1" customWidth="1"/>
    <col min="14857" max="15104" width="9.140625" style="1"/>
    <col min="15105" max="15105" width="7.7109375" style="1" customWidth="1"/>
    <col min="15106" max="15106" width="10.5703125" style="1" customWidth="1"/>
    <col min="15107" max="15107" width="11.140625" style="1" bestFit="1" customWidth="1"/>
    <col min="15108" max="15108" width="22.140625" style="1" bestFit="1" customWidth="1"/>
    <col min="15109" max="15109" width="12.28515625" style="1" customWidth="1"/>
    <col min="15110" max="15110" width="12.5703125" style="1" customWidth="1"/>
    <col min="15111" max="15111" width="12.140625" style="1" customWidth="1"/>
    <col min="15112" max="15112" width="19.7109375" style="1" customWidth="1"/>
    <col min="15113" max="15360" width="9.140625" style="1"/>
    <col min="15361" max="15361" width="7.7109375" style="1" customWidth="1"/>
    <col min="15362" max="15362" width="10.5703125" style="1" customWidth="1"/>
    <col min="15363" max="15363" width="11.140625" style="1" bestFit="1" customWidth="1"/>
    <col min="15364" max="15364" width="22.140625" style="1" bestFit="1" customWidth="1"/>
    <col min="15365" max="15365" width="12.28515625" style="1" customWidth="1"/>
    <col min="15366" max="15366" width="12.5703125" style="1" customWidth="1"/>
    <col min="15367" max="15367" width="12.140625" style="1" customWidth="1"/>
    <col min="15368" max="15368" width="19.7109375" style="1" customWidth="1"/>
    <col min="15369" max="15616" width="9.140625" style="1"/>
    <col min="15617" max="15617" width="7.7109375" style="1" customWidth="1"/>
    <col min="15618" max="15618" width="10.5703125" style="1" customWidth="1"/>
    <col min="15619" max="15619" width="11.140625" style="1" bestFit="1" customWidth="1"/>
    <col min="15620" max="15620" width="22.140625" style="1" bestFit="1" customWidth="1"/>
    <col min="15621" max="15621" width="12.28515625" style="1" customWidth="1"/>
    <col min="15622" max="15622" width="12.5703125" style="1" customWidth="1"/>
    <col min="15623" max="15623" width="12.140625" style="1" customWidth="1"/>
    <col min="15624" max="15624" width="19.7109375" style="1" customWidth="1"/>
    <col min="15625" max="15872" width="9.140625" style="1"/>
    <col min="15873" max="15873" width="7.7109375" style="1" customWidth="1"/>
    <col min="15874" max="15874" width="10.5703125" style="1" customWidth="1"/>
    <col min="15875" max="15875" width="11.140625" style="1" bestFit="1" customWidth="1"/>
    <col min="15876" max="15876" width="22.140625" style="1" bestFit="1" customWidth="1"/>
    <col min="15877" max="15877" width="12.28515625" style="1" customWidth="1"/>
    <col min="15878" max="15878" width="12.5703125" style="1" customWidth="1"/>
    <col min="15879" max="15879" width="12.140625" style="1" customWidth="1"/>
    <col min="15880" max="15880" width="19.7109375" style="1" customWidth="1"/>
    <col min="15881" max="16128" width="9.140625" style="1"/>
    <col min="16129" max="16129" width="7.7109375" style="1" customWidth="1"/>
    <col min="16130" max="16130" width="10.5703125" style="1" customWidth="1"/>
    <col min="16131" max="16131" width="11.140625" style="1" bestFit="1" customWidth="1"/>
    <col min="16132" max="16132" width="22.140625" style="1" bestFit="1" customWidth="1"/>
    <col min="16133" max="16133" width="12.28515625" style="1" customWidth="1"/>
    <col min="16134" max="16134" width="12.5703125" style="1" customWidth="1"/>
    <col min="16135" max="16135" width="12.140625" style="1" customWidth="1"/>
    <col min="16136" max="16136" width="19.7109375" style="1" customWidth="1"/>
    <col min="16137" max="16384" width="9.140625" style="1"/>
  </cols>
  <sheetData>
    <row r="1" spans="1:12" ht="48.75" customHeight="1">
      <c r="A1" s="2303"/>
      <c r="B1" s="2303"/>
      <c r="C1" s="2303"/>
      <c r="D1" s="2303"/>
      <c r="E1" s="2303"/>
      <c r="F1" s="2303"/>
      <c r="G1" s="2266" t="s">
        <v>1233</v>
      </c>
    </row>
    <row r="2" spans="1:12" s="37" customFormat="1" ht="40.5" customHeight="1">
      <c r="A2" s="3323" t="s">
        <v>1017</v>
      </c>
      <c r="B2" s="3323"/>
      <c r="C2" s="3323"/>
      <c r="D2" s="3323"/>
      <c r="E2" s="3323"/>
      <c r="F2" s="3323"/>
      <c r="G2" s="3323"/>
    </row>
    <row r="3" spans="1:12" s="37" customFormat="1" ht="13.5" customHeight="1">
      <c r="A3" s="342"/>
      <c r="B3" s="342"/>
      <c r="C3" s="342"/>
      <c r="D3" s="342"/>
      <c r="E3" s="342"/>
      <c r="F3" s="342"/>
      <c r="G3" s="5" t="s">
        <v>9</v>
      </c>
    </row>
    <row r="4" spans="1:12" s="2304" customFormat="1" ht="20.100000000000001" customHeight="1" thickBot="1">
      <c r="A4" s="3437" t="s">
        <v>12</v>
      </c>
      <c r="B4" s="3437"/>
      <c r="C4" s="3437"/>
      <c r="D4" s="3437"/>
      <c r="E4" s="3437"/>
      <c r="F4" s="3437"/>
      <c r="G4" s="3437"/>
    </row>
    <row r="5" spans="1:12" s="37" customFormat="1" ht="20.100000000000001" customHeight="1">
      <c r="A5" s="3456" t="s">
        <v>0</v>
      </c>
      <c r="B5" s="3458" t="s">
        <v>1</v>
      </c>
      <c r="C5" s="3458" t="s">
        <v>3</v>
      </c>
      <c r="D5" s="3442" t="s">
        <v>1013</v>
      </c>
      <c r="E5" s="3440" t="s">
        <v>2</v>
      </c>
      <c r="F5" s="3440"/>
      <c r="G5" s="3451" t="s">
        <v>85</v>
      </c>
    </row>
    <row r="6" spans="1:12" s="37" customFormat="1" ht="20.100000000000001" customHeight="1">
      <c r="A6" s="3457"/>
      <c r="B6" s="3459"/>
      <c r="C6" s="3459"/>
      <c r="D6" s="3443"/>
      <c r="E6" s="2270" t="s">
        <v>8</v>
      </c>
      <c r="F6" s="2270" t="s">
        <v>7</v>
      </c>
      <c r="G6" s="3452"/>
    </row>
    <row r="7" spans="1:12" s="2310" customFormat="1" ht="18" customHeight="1">
      <c r="A7" s="2305">
        <v>710</v>
      </c>
      <c r="B7" s="2306">
        <v>71012</v>
      </c>
      <c r="C7" s="2307">
        <v>2057</v>
      </c>
      <c r="D7" s="2308">
        <f t="shared" ref="D7:D20" si="0">SUM(E7:F7)</f>
        <v>28997249</v>
      </c>
      <c r="E7" s="2309">
        <v>28997249</v>
      </c>
      <c r="F7" s="2309">
        <v>0</v>
      </c>
      <c r="G7" s="3453" t="s">
        <v>1018</v>
      </c>
    </row>
    <row r="8" spans="1:12" s="2310" customFormat="1" ht="18" customHeight="1">
      <c r="A8" s="2305">
        <v>720</v>
      </c>
      <c r="B8" s="2306">
        <v>72095</v>
      </c>
      <c r="C8" s="2306">
        <v>6257</v>
      </c>
      <c r="D8" s="2311">
        <f t="shared" si="0"/>
        <v>5856425</v>
      </c>
      <c r="E8" s="2312">
        <v>0</v>
      </c>
      <c r="F8" s="2312">
        <v>5856425</v>
      </c>
      <c r="G8" s="3460"/>
    </row>
    <row r="9" spans="1:12" s="2310" customFormat="1" ht="25.5">
      <c r="A9" s="2305">
        <v>750</v>
      </c>
      <c r="B9" s="2306">
        <v>75095</v>
      </c>
      <c r="C9" s="2306">
        <v>6259</v>
      </c>
      <c r="D9" s="2311">
        <f t="shared" si="0"/>
        <v>1540786</v>
      </c>
      <c r="E9" s="2312">
        <v>0</v>
      </c>
      <c r="F9" s="2312">
        <v>1540786</v>
      </c>
      <c r="G9" s="2313" t="s">
        <v>1019</v>
      </c>
    </row>
    <row r="10" spans="1:12" s="2310" customFormat="1" ht="18" customHeight="1">
      <c r="A10" s="3461">
        <v>801</v>
      </c>
      <c r="B10" s="3463">
        <v>80195</v>
      </c>
      <c r="C10" s="2314">
        <v>2059</v>
      </c>
      <c r="D10" s="2311">
        <f t="shared" si="0"/>
        <v>4357069</v>
      </c>
      <c r="E10" s="2315">
        <v>4357069</v>
      </c>
      <c r="F10" s="2315">
        <v>0</v>
      </c>
      <c r="G10" s="3453" t="s">
        <v>1019</v>
      </c>
    </row>
    <row r="11" spans="1:12" s="2310" customFormat="1" ht="18" customHeight="1">
      <c r="A11" s="3461"/>
      <c r="B11" s="3463"/>
      <c r="C11" s="2314">
        <v>2009</v>
      </c>
      <c r="D11" s="2311">
        <f t="shared" si="0"/>
        <v>75000</v>
      </c>
      <c r="E11" s="2315">
        <v>75000</v>
      </c>
      <c r="F11" s="2315">
        <v>0</v>
      </c>
      <c r="G11" s="3460"/>
    </row>
    <row r="12" spans="1:12" s="2310" customFormat="1" ht="18" customHeight="1">
      <c r="A12" s="3461"/>
      <c r="B12" s="3463"/>
      <c r="C12" s="2314">
        <v>6209</v>
      </c>
      <c r="D12" s="2311">
        <f t="shared" si="0"/>
        <v>8816</v>
      </c>
      <c r="E12" s="2315">
        <v>0</v>
      </c>
      <c r="F12" s="2315">
        <v>8816</v>
      </c>
      <c r="G12" s="3460"/>
    </row>
    <row r="13" spans="1:12" s="2310" customFormat="1" ht="18" customHeight="1">
      <c r="A13" s="3462"/>
      <c r="B13" s="3464"/>
      <c r="C13" s="2306">
        <v>6259</v>
      </c>
      <c r="D13" s="2311">
        <f t="shared" si="0"/>
        <v>105000</v>
      </c>
      <c r="E13" s="2312">
        <v>0</v>
      </c>
      <c r="F13" s="2312">
        <v>105000</v>
      </c>
      <c r="G13" s="3460"/>
      <c r="L13" s="2316"/>
    </row>
    <row r="14" spans="1:12" s="2310" customFormat="1" ht="18" customHeight="1">
      <c r="A14" s="2317">
        <v>851</v>
      </c>
      <c r="B14" s="2307">
        <v>85111</v>
      </c>
      <c r="C14" s="2306">
        <v>6209</v>
      </c>
      <c r="D14" s="2311">
        <f t="shared" si="0"/>
        <v>4233022</v>
      </c>
      <c r="E14" s="2312">
        <v>0</v>
      </c>
      <c r="F14" s="2312">
        <v>4233022</v>
      </c>
      <c r="G14" s="3460"/>
    </row>
    <row r="15" spans="1:12" s="2295" customFormat="1" ht="18" customHeight="1">
      <c r="A15" s="3431">
        <v>852</v>
      </c>
      <c r="B15" s="3433">
        <v>85295</v>
      </c>
      <c r="C15" s="2271">
        <v>2009</v>
      </c>
      <c r="D15" s="2272">
        <f t="shared" si="0"/>
        <v>411413</v>
      </c>
      <c r="E15" s="2272">
        <v>411413</v>
      </c>
      <c r="F15" s="2318">
        <v>0</v>
      </c>
      <c r="G15" s="3460"/>
      <c r="H15" s="2319"/>
      <c r="I15" s="2320"/>
      <c r="J15" s="2320"/>
    </row>
    <row r="16" spans="1:12" s="2295" customFormat="1" ht="18" customHeight="1">
      <c r="A16" s="3448"/>
      <c r="B16" s="3449"/>
      <c r="C16" s="2271">
        <v>2059</v>
      </c>
      <c r="D16" s="2272">
        <f t="shared" si="0"/>
        <v>2331687</v>
      </c>
      <c r="E16" s="2272">
        <v>2331687</v>
      </c>
      <c r="F16" s="2318">
        <v>0</v>
      </c>
      <c r="G16" s="3460"/>
      <c r="H16" s="2319"/>
      <c r="I16" s="2320"/>
      <c r="J16" s="2320"/>
    </row>
    <row r="17" spans="1:11" s="2295" customFormat="1" ht="18" customHeight="1">
      <c r="A17" s="3432"/>
      <c r="B17" s="3434"/>
      <c r="C17" s="2271">
        <v>6259</v>
      </c>
      <c r="D17" s="2272">
        <f t="shared" si="0"/>
        <v>135738</v>
      </c>
      <c r="E17" s="2272">
        <v>0</v>
      </c>
      <c r="F17" s="2318">
        <v>135738</v>
      </c>
      <c r="G17" s="3460"/>
      <c r="H17" s="2319"/>
      <c r="I17" s="2320"/>
      <c r="J17" s="2320"/>
    </row>
    <row r="18" spans="1:11" s="2295" customFormat="1" ht="18" customHeight="1">
      <c r="A18" s="2274">
        <v>853</v>
      </c>
      <c r="B18" s="2321">
        <v>85395</v>
      </c>
      <c r="C18" s="2271">
        <v>2059</v>
      </c>
      <c r="D18" s="2272">
        <f t="shared" si="0"/>
        <v>2064125</v>
      </c>
      <c r="E18" s="2272">
        <v>2064125</v>
      </c>
      <c r="F18" s="2318">
        <v>0</v>
      </c>
      <c r="G18" s="3454"/>
      <c r="H18" s="2319"/>
      <c r="I18" s="2320"/>
      <c r="J18" s="2320"/>
    </row>
    <row r="19" spans="1:11" s="2295" customFormat="1" ht="18" customHeight="1">
      <c r="A19" s="3431">
        <v>921</v>
      </c>
      <c r="B19" s="3433">
        <v>92109</v>
      </c>
      <c r="C19" s="2271">
        <v>6220</v>
      </c>
      <c r="D19" s="2272">
        <f t="shared" si="0"/>
        <v>246239</v>
      </c>
      <c r="E19" s="2322">
        <v>0</v>
      </c>
      <c r="F19" s="2323">
        <v>246239</v>
      </c>
      <c r="G19" s="3453" t="s">
        <v>1020</v>
      </c>
      <c r="H19" s="2319"/>
      <c r="I19" s="2320"/>
      <c r="J19" s="2320"/>
    </row>
    <row r="20" spans="1:11" s="2295" customFormat="1" ht="18" customHeight="1">
      <c r="A20" s="3432"/>
      <c r="B20" s="3434"/>
      <c r="C20" s="2271">
        <v>6229</v>
      </c>
      <c r="D20" s="2272">
        <f t="shared" si="0"/>
        <v>1657056</v>
      </c>
      <c r="E20" s="2322">
        <v>0</v>
      </c>
      <c r="F20" s="2323">
        <v>1657056</v>
      </c>
      <c r="G20" s="3454"/>
      <c r="H20" s="2319"/>
      <c r="I20" s="2320"/>
      <c r="J20" s="2320"/>
    </row>
    <row r="21" spans="1:11" s="37" customFormat="1" ht="24.95" customHeight="1" thickBot="1">
      <c r="A21" s="3445" t="s">
        <v>10</v>
      </c>
      <c r="B21" s="3446"/>
      <c r="C21" s="3447"/>
      <c r="D21" s="2324">
        <f>SUM(D7:D20)</f>
        <v>52019625</v>
      </c>
      <c r="E21" s="2324">
        <f t="shared" ref="E21" si="1">SUM(E7:E20)</f>
        <v>38236543</v>
      </c>
      <c r="F21" s="2324">
        <f>SUM(F7:F20)</f>
        <v>13783082</v>
      </c>
      <c r="G21" s="2277"/>
      <c r="H21" s="2325"/>
      <c r="I21" s="2269"/>
      <c r="J21" s="2269"/>
    </row>
    <row r="22" spans="1:11" s="2295" customFormat="1">
      <c r="A22" s="3455"/>
      <c r="B22" s="3455"/>
      <c r="C22" s="3455"/>
      <c r="D22" s="3455"/>
      <c r="E22" s="3455"/>
      <c r="F22" s="3455"/>
      <c r="G22" s="3455"/>
      <c r="H22" s="2319"/>
      <c r="I22" s="2320"/>
      <c r="J22" s="2320"/>
    </row>
    <row r="23" spans="1:11" s="37" customFormat="1" ht="18" customHeight="1" thickBot="1">
      <c r="A23" s="3437" t="s">
        <v>11</v>
      </c>
      <c r="B23" s="3437"/>
      <c r="C23" s="3437"/>
      <c r="D23" s="3437"/>
      <c r="E23" s="3437"/>
      <c r="F23" s="3437"/>
      <c r="G23" s="3437"/>
      <c r="H23" s="2325"/>
      <c r="I23" s="2269"/>
      <c r="J23" s="2269"/>
      <c r="K23" s="2326"/>
    </row>
    <row r="24" spans="1:11" s="37" customFormat="1" ht="20.100000000000001" customHeight="1">
      <c r="A24" s="3456" t="s">
        <v>0</v>
      </c>
      <c r="B24" s="3458" t="s">
        <v>1</v>
      </c>
      <c r="C24" s="3458" t="s">
        <v>3</v>
      </c>
      <c r="D24" s="3442" t="s">
        <v>1013</v>
      </c>
      <c r="E24" s="3440" t="s">
        <v>2</v>
      </c>
      <c r="F24" s="3440"/>
      <c r="G24" s="3451" t="s">
        <v>85</v>
      </c>
      <c r="H24" s="2325"/>
      <c r="I24" s="2269"/>
      <c r="J24" s="2269"/>
    </row>
    <row r="25" spans="1:11" s="37" customFormat="1" ht="20.100000000000001" customHeight="1">
      <c r="A25" s="3457"/>
      <c r="B25" s="3459"/>
      <c r="C25" s="3459"/>
      <c r="D25" s="3443"/>
      <c r="E25" s="2270" t="s">
        <v>8</v>
      </c>
      <c r="F25" s="2270" t="s">
        <v>7</v>
      </c>
      <c r="G25" s="3452"/>
      <c r="H25" s="2269"/>
      <c r="I25" s="2269"/>
      <c r="J25" s="2269"/>
    </row>
    <row r="26" spans="1:11" s="2295" customFormat="1" ht="18" customHeight="1">
      <c r="A26" s="3431">
        <v>150</v>
      </c>
      <c r="B26" s="3433">
        <v>15011</v>
      </c>
      <c r="C26" s="2271">
        <v>2009</v>
      </c>
      <c r="D26" s="2272">
        <f>SUM(E26:F26)</f>
        <v>5350021</v>
      </c>
      <c r="E26" s="2318">
        <v>5350021</v>
      </c>
      <c r="F26" s="2327">
        <v>0</v>
      </c>
      <c r="G26" s="3435" t="s">
        <v>1019</v>
      </c>
      <c r="H26" s="2320"/>
      <c r="I26" s="2320"/>
      <c r="J26" s="2320"/>
    </row>
    <row r="27" spans="1:11" s="2295" customFormat="1" ht="18" customHeight="1">
      <c r="A27" s="3448"/>
      <c r="B27" s="3449"/>
      <c r="C27" s="2321">
        <v>6209</v>
      </c>
      <c r="D27" s="2272">
        <f>SUM(E27:F27)</f>
        <v>11393032</v>
      </c>
      <c r="E27" s="2318"/>
      <c r="F27" s="2327">
        <v>11393032</v>
      </c>
      <c r="G27" s="3436"/>
      <c r="H27" s="2320"/>
      <c r="I27" s="2320"/>
      <c r="J27" s="2320"/>
    </row>
    <row r="28" spans="1:11" s="2295" customFormat="1" ht="41.25" customHeight="1">
      <c r="A28" s="3448"/>
      <c r="B28" s="3449"/>
      <c r="C28" s="2321">
        <v>2007</v>
      </c>
      <c r="D28" s="2272">
        <f t="shared" ref="D28:D29" si="2">SUM(E28:F28)</f>
        <v>8359400</v>
      </c>
      <c r="E28" s="2318">
        <v>8359400</v>
      </c>
      <c r="F28" s="2327">
        <v>0</v>
      </c>
      <c r="G28" s="2328" t="s">
        <v>1021</v>
      </c>
      <c r="H28" s="2320"/>
      <c r="I28" s="2320"/>
      <c r="J28" s="2320"/>
    </row>
    <row r="29" spans="1:11" s="2295" customFormat="1" ht="25.5">
      <c r="A29" s="2274">
        <v>750</v>
      </c>
      <c r="B29" s="2271">
        <v>75095</v>
      </c>
      <c r="C29" s="2321">
        <v>6209</v>
      </c>
      <c r="D29" s="2272">
        <f t="shared" si="2"/>
        <v>20000</v>
      </c>
      <c r="E29" s="2318">
        <v>0</v>
      </c>
      <c r="F29" s="2327">
        <v>20000</v>
      </c>
      <c r="G29" s="2329" t="s">
        <v>1019</v>
      </c>
      <c r="H29" s="2320"/>
      <c r="I29" s="2320"/>
      <c r="J29" s="2320"/>
    </row>
    <row r="30" spans="1:11" s="2295" customFormat="1" ht="18" customHeight="1">
      <c r="A30" s="3431">
        <v>801</v>
      </c>
      <c r="B30" s="3433">
        <v>80195</v>
      </c>
      <c r="C30" s="2321">
        <v>2009</v>
      </c>
      <c r="D30" s="2330">
        <f>SUM(E30:F30)</f>
        <v>4595132</v>
      </c>
      <c r="E30" s="2272">
        <v>4595132</v>
      </c>
      <c r="F30" s="2318">
        <v>0</v>
      </c>
      <c r="G30" s="3435" t="s">
        <v>1019</v>
      </c>
      <c r="H30" s="2320"/>
      <c r="I30" s="2320"/>
      <c r="J30" s="2320"/>
    </row>
    <row r="31" spans="1:11" s="2295" customFormat="1" ht="18" customHeight="1">
      <c r="A31" s="3432"/>
      <c r="B31" s="3434"/>
      <c r="C31" s="2321">
        <v>6209</v>
      </c>
      <c r="D31" s="2330">
        <f>SUM(E31:F31)</f>
        <v>58184</v>
      </c>
      <c r="E31" s="2272">
        <v>0</v>
      </c>
      <c r="F31" s="2318">
        <v>58184</v>
      </c>
      <c r="G31" s="3450"/>
      <c r="H31" s="2320"/>
      <c r="I31" s="2320"/>
      <c r="J31" s="2320"/>
    </row>
    <row r="32" spans="1:11" s="2295" customFormat="1" ht="18" customHeight="1">
      <c r="A32" s="3431">
        <v>852</v>
      </c>
      <c r="B32" s="3433">
        <v>85295</v>
      </c>
      <c r="C32" s="2321">
        <v>2009</v>
      </c>
      <c r="D32" s="2330">
        <f t="shared" ref="D32:D33" si="3">SUM(E32:F32)</f>
        <v>7424500</v>
      </c>
      <c r="E32" s="2272">
        <v>7424500</v>
      </c>
      <c r="F32" s="2318">
        <v>0</v>
      </c>
      <c r="G32" s="3450"/>
      <c r="H32" s="2320"/>
      <c r="I32" s="2320"/>
      <c r="J32" s="2320"/>
    </row>
    <row r="33" spans="1:10" s="2295" customFormat="1" ht="18" customHeight="1">
      <c r="A33" s="3432"/>
      <c r="B33" s="3434"/>
      <c r="C33" s="2321">
        <v>6209</v>
      </c>
      <c r="D33" s="2330">
        <f t="shared" si="3"/>
        <v>544262</v>
      </c>
      <c r="E33" s="2272">
        <v>0</v>
      </c>
      <c r="F33" s="2318">
        <v>544262</v>
      </c>
      <c r="G33" s="3450"/>
      <c r="H33" s="2320"/>
      <c r="I33" s="2320"/>
      <c r="J33" s="2320"/>
    </row>
    <row r="34" spans="1:10" s="2295" customFormat="1" ht="18" customHeight="1">
      <c r="A34" s="2274">
        <v>853</v>
      </c>
      <c r="B34" s="2271">
        <v>85395</v>
      </c>
      <c r="C34" s="2271">
        <v>2009</v>
      </c>
      <c r="D34" s="2272">
        <f>SUM(E34:F34)</f>
        <v>5526854</v>
      </c>
      <c r="E34" s="2272">
        <v>5526854</v>
      </c>
      <c r="F34" s="2318">
        <v>0</v>
      </c>
      <c r="G34" s="3436"/>
      <c r="H34" s="2320"/>
      <c r="I34" s="2320"/>
      <c r="J34" s="2320"/>
    </row>
    <row r="35" spans="1:10" s="2301" customFormat="1" ht="24.95" customHeight="1" thickBot="1">
      <c r="A35" s="3445" t="s">
        <v>10</v>
      </c>
      <c r="B35" s="3446"/>
      <c r="C35" s="3447"/>
      <c r="D35" s="2324">
        <f>SUM(D26:D34)</f>
        <v>43271385</v>
      </c>
      <c r="E35" s="2324">
        <f t="shared" ref="E35:F35" si="4">SUM(E26:E34)</f>
        <v>31255907</v>
      </c>
      <c r="F35" s="2324">
        <f t="shared" si="4"/>
        <v>12015478</v>
      </c>
      <c r="G35" s="2277"/>
    </row>
    <row r="36" spans="1:10">
      <c r="B36" s="2331"/>
      <c r="C36" s="2332"/>
      <c r="D36" s="2"/>
      <c r="E36" s="2"/>
      <c r="F36" s="2"/>
    </row>
    <row r="37" spans="1:10">
      <c r="C37" s="2333"/>
      <c r="D37" s="2"/>
      <c r="E37" s="2"/>
      <c r="F37" s="2"/>
    </row>
    <row r="38" spans="1:10">
      <c r="C38" s="2"/>
      <c r="D38" s="2"/>
      <c r="E38" s="2"/>
      <c r="F38" s="2"/>
    </row>
    <row r="39" spans="1:10">
      <c r="C39" s="2"/>
      <c r="D39" s="2"/>
      <c r="E39" s="2"/>
      <c r="F39" s="2"/>
    </row>
    <row r="40" spans="1:10">
      <c r="C40" s="2"/>
    </row>
  </sheetData>
  <mergeCells count="35">
    <mergeCell ref="A2:G2"/>
    <mergeCell ref="A4:G4"/>
    <mergeCell ref="A5:A6"/>
    <mergeCell ref="B5:B6"/>
    <mergeCell ref="C5:C6"/>
    <mergeCell ref="D5:D6"/>
    <mergeCell ref="E5:F5"/>
    <mergeCell ref="G5:G6"/>
    <mergeCell ref="G7:G8"/>
    <mergeCell ref="A10:A13"/>
    <mergeCell ref="B10:B13"/>
    <mergeCell ref="G10:G18"/>
    <mergeCell ref="A15:A17"/>
    <mergeCell ref="B15:B17"/>
    <mergeCell ref="G24:G25"/>
    <mergeCell ref="A19:A20"/>
    <mergeCell ref="B19:B20"/>
    <mergeCell ref="G19:G20"/>
    <mergeCell ref="A21:C21"/>
    <mergeCell ref="A22:G22"/>
    <mergeCell ref="A23:G23"/>
    <mergeCell ref="A24:A25"/>
    <mergeCell ref="B24:B25"/>
    <mergeCell ref="C24:C25"/>
    <mergeCell ref="D24:D25"/>
    <mergeCell ref="E24:F24"/>
    <mergeCell ref="A35:C35"/>
    <mergeCell ref="A26:A28"/>
    <mergeCell ref="B26:B28"/>
    <mergeCell ref="G26:G27"/>
    <mergeCell ref="A30:A31"/>
    <mergeCell ref="B30:B31"/>
    <mergeCell ref="G30:G34"/>
    <mergeCell ref="A32:A33"/>
    <mergeCell ref="B32:B33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83" orientation="landscape" r:id="rId1"/>
  <headerFooter alignWithMargins="0">
    <oddFooter>Strona &amp;P z &amp;N</oddFooter>
  </headerFooter>
  <rowBreaks count="1" manualBreakCount="1">
    <brk id="2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H268"/>
  <sheetViews>
    <sheetView view="pageBreakPreview" zoomScale="120" zoomScaleNormal="100" zoomScaleSheetLayoutView="120" workbookViewId="0">
      <selection activeCell="G2" sqref="G2"/>
    </sheetView>
  </sheetViews>
  <sheetFormatPr defaultRowHeight="12.75"/>
  <cols>
    <col min="1" max="1" width="6.140625" style="2303" customWidth="1"/>
    <col min="2" max="3" width="8.85546875" style="2303" customWidth="1"/>
    <col min="4" max="4" width="43.42578125" style="2303" customWidth="1"/>
    <col min="5" max="5" width="11.28515625" style="2303" customWidth="1"/>
    <col min="6" max="6" width="11.5703125" style="2303" customWidth="1"/>
    <col min="7" max="7" width="9.140625" style="2303"/>
    <col min="8" max="8" width="8.85546875" style="2335" customWidth="1"/>
    <col min="9" max="16384" width="9.140625" style="2303"/>
  </cols>
  <sheetData>
    <row r="1" spans="1:8" ht="65.25" customHeight="1">
      <c r="A1" s="30"/>
      <c r="B1" s="30"/>
      <c r="C1" s="2334"/>
      <c r="D1" s="3119" t="s">
        <v>1234</v>
      </c>
      <c r="E1" s="3484"/>
    </row>
    <row r="2" spans="1:8" ht="69" customHeight="1">
      <c r="A2" s="3258" t="s">
        <v>1022</v>
      </c>
      <c r="B2" s="3258"/>
      <c r="C2" s="3258"/>
      <c r="D2" s="3258"/>
      <c r="E2" s="3258"/>
      <c r="F2" s="2336"/>
      <c r="G2" s="2336"/>
    </row>
    <row r="3" spans="1:8" s="2221" customFormat="1" hidden="1">
      <c r="A3" s="341"/>
      <c r="B3" s="341"/>
      <c r="C3" s="341"/>
      <c r="D3" s="341"/>
      <c r="E3" s="2337"/>
      <c r="H3" s="107"/>
    </row>
    <row r="4" spans="1:8" ht="36.75" customHeight="1">
      <c r="A4" s="3485" t="s">
        <v>1023</v>
      </c>
      <c r="B4" s="3486"/>
      <c r="C4" s="3486"/>
      <c r="D4" s="3486"/>
      <c r="E4" s="3487"/>
    </row>
    <row r="5" spans="1:8" ht="15.75" customHeight="1" thickBot="1">
      <c r="A5" s="3488" t="s">
        <v>9</v>
      </c>
      <c r="B5" s="3488"/>
      <c r="C5" s="3488"/>
      <c r="D5" s="3488"/>
      <c r="E5" s="3488"/>
    </row>
    <row r="6" spans="1:8" ht="18.75" customHeight="1" thickBot="1">
      <c r="A6" s="2338" t="s">
        <v>0</v>
      </c>
      <c r="B6" s="2339" t="s">
        <v>1</v>
      </c>
      <c r="C6" s="2339" t="s">
        <v>3</v>
      </c>
      <c r="D6" s="2339" t="s">
        <v>51</v>
      </c>
      <c r="E6" s="2340" t="s">
        <v>1004</v>
      </c>
    </row>
    <row r="7" spans="1:8" ht="23.25" customHeight="1">
      <c r="A7" s="3489" t="s">
        <v>57</v>
      </c>
      <c r="B7" s="3490" t="s">
        <v>228</v>
      </c>
      <c r="C7" s="3491"/>
      <c r="D7" s="3492"/>
      <c r="E7" s="2341">
        <f>SUM(E8)</f>
        <v>150000</v>
      </c>
      <c r="G7" s="2335"/>
    </row>
    <row r="8" spans="1:8" s="2335" customFormat="1">
      <c r="A8" s="3482"/>
      <c r="B8" s="3472" t="s">
        <v>59</v>
      </c>
      <c r="C8" s="3479" t="s">
        <v>254</v>
      </c>
      <c r="D8" s="3479"/>
      <c r="E8" s="2342">
        <f>SUM(E9)</f>
        <v>150000</v>
      </c>
      <c r="F8" s="2303"/>
      <c r="G8" s="2303"/>
    </row>
    <row r="9" spans="1:8" s="2335" customFormat="1">
      <c r="A9" s="3483"/>
      <c r="B9" s="3472"/>
      <c r="C9" s="2271">
        <v>2210</v>
      </c>
      <c r="D9" s="2343"/>
      <c r="E9" s="2344">
        <v>150000</v>
      </c>
      <c r="F9" s="2303"/>
      <c r="G9" s="2303"/>
    </row>
    <row r="10" spans="1:8" s="2335" customFormat="1" ht="23.25" customHeight="1">
      <c r="A10" s="3468" t="s">
        <v>4</v>
      </c>
      <c r="B10" s="3475" t="s">
        <v>82</v>
      </c>
      <c r="C10" s="3476"/>
      <c r="D10" s="3477"/>
      <c r="E10" s="2345">
        <f>E11+E13</f>
        <v>55163000</v>
      </c>
      <c r="F10" s="2303"/>
    </row>
    <row r="11" spans="1:8" s="2335" customFormat="1">
      <c r="A11" s="3468"/>
      <c r="B11" s="3472" t="s">
        <v>678</v>
      </c>
      <c r="C11" s="3479" t="s">
        <v>287</v>
      </c>
      <c r="D11" s="3479"/>
      <c r="E11" s="2342">
        <f>SUM(E12)</f>
        <v>55000000</v>
      </c>
      <c r="F11" s="2303"/>
      <c r="G11" s="2303"/>
    </row>
    <row r="12" spans="1:8" s="2335" customFormat="1">
      <c r="A12" s="3468"/>
      <c r="B12" s="3472"/>
      <c r="C12" s="2271">
        <v>2210</v>
      </c>
      <c r="D12" s="2343"/>
      <c r="E12" s="2344">
        <v>55000000</v>
      </c>
      <c r="F12" s="2303"/>
      <c r="G12" s="2303"/>
    </row>
    <row r="13" spans="1:8" s="2335" customFormat="1">
      <c r="A13" s="3468"/>
      <c r="B13" s="3472" t="s">
        <v>697</v>
      </c>
      <c r="C13" s="3479" t="s">
        <v>254</v>
      </c>
      <c r="D13" s="3479"/>
      <c r="E13" s="2342">
        <f>SUM(E14)</f>
        <v>163000</v>
      </c>
      <c r="F13" s="2303"/>
      <c r="G13" s="2303"/>
    </row>
    <row r="14" spans="1:8" s="2335" customFormat="1">
      <c r="A14" s="3468"/>
      <c r="B14" s="3472"/>
      <c r="C14" s="2271">
        <v>2210</v>
      </c>
      <c r="D14" s="2343"/>
      <c r="E14" s="2344">
        <v>163000</v>
      </c>
      <c r="F14" s="2303"/>
      <c r="G14" s="2303"/>
    </row>
    <row r="15" spans="1:8" s="2335" customFormat="1" ht="23.25" customHeight="1">
      <c r="A15" s="3481" t="s">
        <v>62</v>
      </c>
      <c r="B15" s="3475" t="s">
        <v>308</v>
      </c>
      <c r="C15" s="3476"/>
      <c r="D15" s="3477"/>
      <c r="E15" s="2345">
        <f>E16</f>
        <v>35000</v>
      </c>
      <c r="F15" s="2303"/>
    </row>
    <row r="16" spans="1:8" s="2335" customFormat="1">
      <c r="A16" s="3482"/>
      <c r="B16" s="3472" t="s">
        <v>704</v>
      </c>
      <c r="C16" s="3479" t="s">
        <v>254</v>
      </c>
      <c r="D16" s="3479"/>
      <c r="E16" s="2342">
        <f>SUM(E17)</f>
        <v>35000</v>
      </c>
      <c r="F16" s="2303"/>
      <c r="G16" s="2303"/>
    </row>
    <row r="17" spans="1:7" s="2335" customFormat="1">
      <c r="A17" s="3483"/>
      <c r="B17" s="3472"/>
      <c r="C17" s="2271">
        <v>2210</v>
      </c>
      <c r="D17" s="2343"/>
      <c r="E17" s="2344">
        <v>35000</v>
      </c>
      <c r="F17" s="2303"/>
      <c r="G17" s="2303"/>
    </row>
    <row r="18" spans="1:7" s="2335" customFormat="1" ht="24" customHeight="1">
      <c r="A18" s="3468" t="s">
        <v>710</v>
      </c>
      <c r="B18" s="3475" t="s">
        <v>320</v>
      </c>
      <c r="C18" s="3476"/>
      <c r="D18" s="3477"/>
      <c r="E18" s="2345">
        <f>SUM(E19)</f>
        <v>497000</v>
      </c>
      <c r="F18" s="2303"/>
      <c r="G18" s="2303"/>
    </row>
    <row r="19" spans="1:7" s="2335" customFormat="1">
      <c r="A19" s="3468"/>
      <c r="B19" s="3472" t="s">
        <v>716</v>
      </c>
      <c r="C19" s="3479" t="s">
        <v>324</v>
      </c>
      <c r="D19" s="3479"/>
      <c r="E19" s="2342">
        <f>SUM(E20)</f>
        <v>497000</v>
      </c>
      <c r="F19" s="2303"/>
      <c r="G19" s="2303"/>
    </row>
    <row r="20" spans="1:7" s="2335" customFormat="1">
      <c r="A20" s="3468"/>
      <c r="B20" s="3472"/>
      <c r="C20" s="2271">
        <v>2210</v>
      </c>
      <c r="D20" s="2306"/>
      <c r="E20" s="2344">
        <v>497000</v>
      </c>
      <c r="F20" s="2303"/>
      <c r="G20" s="2303"/>
    </row>
    <row r="21" spans="1:7" s="2335" customFormat="1" ht="24" customHeight="1">
      <c r="A21" s="3468" t="s">
        <v>731</v>
      </c>
      <c r="B21" s="3475" t="s">
        <v>340</v>
      </c>
      <c r="C21" s="3476"/>
      <c r="D21" s="3477"/>
      <c r="E21" s="2345">
        <f>SUM(E22,E24,E26)</f>
        <v>368000</v>
      </c>
      <c r="F21" s="2303"/>
      <c r="G21" s="2303"/>
    </row>
    <row r="22" spans="1:7" s="2335" customFormat="1">
      <c r="A22" s="3468"/>
      <c r="B22" s="3472" t="s">
        <v>733</v>
      </c>
      <c r="C22" s="3479" t="s">
        <v>341</v>
      </c>
      <c r="D22" s="3479"/>
      <c r="E22" s="2342">
        <f>SUM(E23)</f>
        <v>147000</v>
      </c>
      <c r="F22" s="2303"/>
      <c r="G22" s="2303"/>
    </row>
    <row r="23" spans="1:7" s="2335" customFormat="1">
      <c r="A23" s="3468"/>
      <c r="B23" s="3472"/>
      <c r="C23" s="2271">
        <v>2210</v>
      </c>
      <c r="D23" s="2306"/>
      <c r="E23" s="2344">
        <v>147000</v>
      </c>
      <c r="F23" s="2303"/>
      <c r="G23" s="2303"/>
    </row>
    <row r="24" spans="1:7" s="2335" customFormat="1">
      <c r="A24" s="3468"/>
      <c r="B24" s="3472" t="s">
        <v>758</v>
      </c>
      <c r="C24" s="3479" t="s">
        <v>348</v>
      </c>
      <c r="D24" s="3479"/>
      <c r="E24" s="2342">
        <f>SUM(E25)</f>
        <v>20000</v>
      </c>
      <c r="F24" s="2303"/>
      <c r="G24" s="2303"/>
    </row>
    <row r="25" spans="1:7" s="2335" customFormat="1">
      <c r="A25" s="3468"/>
      <c r="B25" s="3472"/>
      <c r="C25" s="2271">
        <v>2210</v>
      </c>
      <c r="D25" s="2306"/>
      <c r="E25" s="2344">
        <v>20000</v>
      </c>
      <c r="F25" s="2303"/>
      <c r="G25" s="2303"/>
    </row>
    <row r="26" spans="1:7" s="2335" customFormat="1">
      <c r="A26" s="3468"/>
      <c r="B26" s="3472" t="s">
        <v>765</v>
      </c>
      <c r="C26" s="3479" t="s">
        <v>359</v>
      </c>
      <c r="D26" s="3479"/>
      <c r="E26" s="2342">
        <f>SUM(E27)</f>
        <v>201000</v>
      </c>
      <c r="F26" s="2303"/>
      <c r="G26" s="2303"/>
    </row>
    <row r="27" spans="1:7" s="2335" customFormat="1">
      <c r="A27" s="3468"/>
      <c r="B27" s="3472"/>
      <c r="C27" s="2271">
        <v>2210</v>
      </c>
      <c r="D27" s="2306"/>
      <c r="E27" s="2344">
        <v>201000</v>
      </c>
      <c r="F27" s="2303"/>
      <c r="G27" s="2303"/>
    </row>
    <row r="28" spans="1:7" s="2335" customFormat="1" ht="24" customHeight="1">
      <c r="A28" s="3468" t="s">
        <v>781</v>
      </c>
      <c r="B28" s="3475" t="s">
        <v>371</v>
      </c>
      <c r="C28" s="3476"/>
      <c r="D28" s="3477"/>
      <c r="E28" s="2345">
        <f>SUM(E29)</f>
        <v>5000</v>
      </c>
      <c r="F28" s="2303"/>
      <c r="G28" s="2303"/>
    </row>
    <row r="29" spans="1:7" s="2335" customFormat="1">
      <c r="A29" s="3468"/>
      <c r="B29" s="3472" t="s">
        <v>783</v>
      </c>
      <c r="C29" s="3479" t="s">
        <v>372</v>
      </c>
      <c r="D29" s="3479"/>
      <c r="E29" s="2342">
        <f>SUM(E30)</f>
        <v>5000</v>
      </c>
      <c r="F29" s="2303"/>
      <c r="G29" s="2303"/>
    </row>
    <row r="30" spans="1:7" s="2335" customFormat="1">
      <c r="A30" s="3468"/>
      <c r="B30" s="3472"/>
      <c r="C30" s="2271">
        <v>2210</v>
      </c>
      <c r="D30" s="2306"/>
      <c r="E30" s="2344">
        <v>5000</v>
      </c>
      <c r="F30" s="2303"/>
      <c r="G30" s="2303"/>
    </row>
    <row r="31" spans="1:7" s="2335" customFormat="1" ht="24" customHeight="1">
      <c r="A31" s="3468" t="s">
        <v>68</v>
      </c>
      <c r="B31" s="3475" t="s">
        <v>1024</v>
      </c>
      <c r="C31" s="3476"/>
      <c r="D31" s="3477"/>
      <c r="E31" s="2345">
        <f>SUM(E34,E36,E32)</f>
        <v>105000</v>
      </c>
      <c r="G31" s="2303"/>
    </row>
    <row r="32" spans="1:7" s="2335" customFormat="1">
      <c r="A32" s="3468"/>
      <c r="B32" s="3472" t="s">
        <v>879</v>
      </c>
      <c r="C32" s="3480" t="s">
        <v>442</v>
      </c>
      <c r="D32" s="3479"/>
      <c r="E32" s="2342">
        <f>SUM(E33)</f>
        <v>50000</v>
      </c>
      <c r="F32" s="2303"/>
      <c r="G32" s="2303"/>
    </row>
    <row r="33" spans="1:8" s="2335" customFormat="1">
      <c r="A33" s="3468"/>
      <c r="B33" s="3472"/>
      <c r="C33" s="2271">
        <v>6510</v>
      </c>
      <c r="D33" s="2343"/>
      <c r="E33" s="2344">
        <v>50000</v>
      </c>
      <c r="F33" s="2303"/>
      <c r="G33" s="2303"/>
    </row>
    <row r="34" spans="1:8" s="2335" customFormat="1" ht="37.5" customHeight="1">
      <c r="A34" s="3468"/>
      <c r="B34" s="3472" t="s">
        <v>884</v>
      </c>
      <c r="C34" s="3480" t="s">
        <v>1025</v>
      </c>
      <c r="D34" s="3479"/>
      <c r="E34" s="2342">
        <f>SUM(E35)</f>
        <v>25000</v>
      </c>
      <c r="F34" s="2303"/>
      <c r="G34" s="2303"/>
      <c r="H34" s="2346"/>
    </row>
    <row r="35" spans="1:8" s="2335" customFormat="1">
      <c r="A35" s="3468"/>
      <c r="B35" s="3472"/>
      <c r="C35" s="2271">
        <v>2210</v>
      </c>
      <c r="D35" s="2343"/>
      <c r="E35" s="2344">
        <v>25000</v>
      </c>
      <c r="F35" s="2303"/>
      <c r="G35" s="2303"/>
    </row>
    <row r="36" spans="1:8" s="2335" customFormat="1">
      <c r="A36" s="3468"/>
      <c r="B36" s="3472" t="s">
        <v>887</v>
      </c>
      <c r="C36" s="3480" t="s">
        <v>254</v>
      </c>
      <c r="D36" s="3479"/>
      <c r="E36" s="2342">
        <f>SUM(E37)</f>
        <v>30000</v>
      </c>
      <c r="F36" s="2303"/>
      <c r="G36" s="2303"/>
    </row>
    <row r="37" spans="1:8" s="2335" customFormat="1">
      <c r="A37" s="3468"/>
      <c r="B37" s="3472"/>
      <c r="C37" s="2271">
        <v>2210</v>
      </c>
      <c r="D37" s="2306"/>
      <c r="E37" s="2344">
        <v>30000</v>
      </c>
      <c r="F37" s="2303"/>
      <c r="G37" s="2303"/>
    </row>
    <row r="38" spans="1:8" s="2335" customFormat="1" ht="27" customHeight="1">
      <c r="A38" s="3468" t="s">
        <v>74</v>
      </c>
      <c r="B38" s="3469" t="s">
        <v>455</v>
      </c>
      <c r="C38" s="3470"/>
      <c r="D38" s="3471"/>
      <c r="E38" s="2345">
        <f>SUM(E39)</f>
        <v>2000</v>
      </c>
      <c r="F38" s="2303"/>
      <c r="G38" s="2303"/>
    </row>
    <row r="39" spans="1:8" s="2335" customFormat="1">
      <c r="A39" s="3468"/>
      <c r="B39" s="3472" t="s">
        <v>914</v>
      </c>
      <c r="C39" s="3473" t="s">
        <v>915</v>
      </c>
      <c r="D39" s="3473"/>
      <c r="E39" s="2342">
        <f>SUM(E40)</f>
        <v>2000</v>
      </c>
      <c r="F39" s="2303"/>
      <c r="G39" s="2303"/>
    </row>
    <row r="40" spans="1:8" s="2335" customFormat="1">
      <c r="A40" s="3468"/>
      <c r="B40" s="3472"/>
      <c r="C40" s="2271">
        <v>2210</v>
      </c>
      <c r="D40" s="2306"/>
      <c r="E40" s="2344">
        <v>2000</v>
      </c>
      <c r="F40" s="2303"/>
      <c r="G40" s="2303"/>
    </row>
    <row r="41" spans="1:8" s="2335" customFormat="1" ht="23.25" customHeight="1">
      <c r="A41" s="3468" t="s">
        <v>110</v>
      </c>
      <c r="B41" s="3475" t="s">
        <v>467</v>
      </c>
      <c r="C41" s="3476"/>
      <c r="D41" s="3477"/>
      <c r="E41" s="2345">
        <f>SUM(E42)</f>
        <v>784000</v>
      </c>
      <c r="F41" s="2303"/>
    </row>
    <row r="42" spans="1:8" s="2335" customFormat="1">
      <c r="A42" s="3468"/>
      <c r="B42" s="3472" t="s">
        <v>928</v>
      </c>
      <c r="C42" s="3479" t="s">
        <v>1026</v>
      </c>
      <c r="D42" s="3479"/>
      <c r="E42" s="2342">
        <f>SUM(E43)</f>
        <v>784000</v>
      </c>
      <c r="F42" s="2303"/>
      <c r="G42" s="2303"/>
    </row>
    <row r="43" spans="1:8" s="2335" customFormat="1" ht="13.5" thickBot="1">
      <c r="A43" s="3474"/>
      <c r="B43" s="3478"/>
      <c r="C43" s="2347">
        <v>2210</v>
      </c>
      <c r="D43" s="2348"/>
      <c r="E43" s="2349">
        <v>784000</v>
      </c>
      <c r="F43" s="2303"/>
      <c r="G43" s="2303"/>
    </row>
    <row r="44" spans="1:8" s="2335" customFormat="1" ht="30" customHeight="1" thickBot="1">
      <c r="A44" s="3465" t="s">
        <v>510</v>
      </c>
      <c r="B44" s="3466"/>
      <c r="C44" s="3466"/>
      <c r="D44" s="3467"/>
      <c r="E44" s="2350">
        <f>SUM(E41,E38,E31,E21,E18,E10,E7,E15,E28)</f>
        <v>57109000</v>
      </c>
      <c r="F44" s="2303"/>
    </row>
    <row r="45" spans="1:8" s="2335" customFormat="1">
      <c r="A45" s="46"/>
      <c r="B45" s="46"/>
      <c r="C45" s="2221"/>
      <c r="D45" s="2221"/>
      <c r="E45" s="47"/>
      <c r="F45" s="2303"/>
      <c r="G45" s="2303"/>
    </row>
    <row r="46" spans="1:8" s="2335" customFormat="1">
      <c r="A46" s="46"/>
      <c r="B46" s="46"/>
      <c r="C46" s="2221"/>
      <c r="D46" s="2221"/>
      <c r="E46" s="47"/>
      <c r="F46" s="2303"/>
      <c r="G46" s="2303"/>
    </row>
    <row r="47" spans="1:8" s="2335" customFormat="1">
      <c r="A47" s="46"/>
      <c r="B47" s="46"/>
      <c r="C47" s="2221"/>
      <c r="D47" s="2221"/>
      <c r="E47" s="47"/>
      <c r="F47" s="2303"/>
      <c r="G47" s="2303"/>
    </row>
    <row r="48" spans="1:8" s="2335" customFormat="1" ht="12.75" customHeight="1">
      <c r="A48" s="46"/>
      <c r="B48" s="46"/>
      <c r="C48" s="2221"/>
      <c r="D48" s="2221"/>
      <c r="E48" s="47"/>
      <c r="F48" s="2303"/>
      <c r="G48" s="2303"/>
    </row>
    <row r="49" spans="1:7" s="2335" customFormat="1">
      <c r="A49" s="46"/>
      <c r="B49" s="46"/>
      <c r="C49" s="2221"/>
      <c r="D49" s="2221"/>
      <c r="E49" s="47"/>
      <c r="F49" s="2303"/>
      <c r="G49" s="2303"/>
    </row>
    <row r="50" spans="1:7" s="2335" customFormat="1">
      <c r="A50" s="46"/>
      <c r="B50" s="46"/>
      <c r="C50" s="2221"/>
      <c r="D50" s="2221"/>
      <c r="E50" s="47"/>
      <c r="F50" s="2303"/>
      <c r="G50" s="2303"/>
    </row>
    <row r="51" spans="1:7" s="2335" customFormat="1">
      <c r="A51" s="46"/>
      <c r="B51" s="46"/>
      <c r="C51" s="2221"/>
      <c r="D51" s="2221"/>
      <c r="E51" s="47"/>
      <c r="F51" s="2303"/>
      <c r="G51" s="2303"/>
    </row>
    <row r="52" spans="1:7" s="2335" customFormat="1">
      <c r="A52" s="46"/>
      <c r="B52" s="46"/>
      <c r="C52" s="2221"/>
      <c r="D52" s="2221"/>
      <c r="E52" s="47"/>
      <c r="F52" s="2303"/>
      <c r="G52" s="2303"/>
    </row>
    <row r="53" spans="1:7" s="2335" customFormat="1">
      <c r="A53" s="46"/>
      <c r="B53" s="46"/>
      <c r="C53" s="2221"/>
      <c r="D53" s="2221"/>
      <c r="E53" s="47"/>
      <c r="F53" s="2303"/>
      <c r="G53" s="2303"/>
    </row>
    <row r="54" spans="1:7" s="2335" customFormat="1">
      <c r="A54" s="46"/>
      <c r="B54" s="46"/>
      <c r="C54" s="2221"/>
      <c r="D54" s="2221"/>
      <c r="E54" s="47"/>
      <c r="F54" s="2303"/>
      <c r="G54" s="2303"/>
    </row>
    <row r="55" spans="1:7" s="2335" customFormat="1">
      <c r="A55" s="46"/>
      <c r="B55" s="46"/>
      <c r="C55" s="2221"/>
      <c r="D55" s="2221"/>
      <c r="E55" s="47"/>
      <c r="F55" s="2303"/>
      <c r="G55" s="2303"/>
    </row>
    <row r="56" spans="1:7" s="2335" customFormat="1">
      <c r="A56" s="2221"/>
      <c r="B56" s="46"/>
      <c r="C56" s="2221"/>
      <c r="D56" s="2221"/>
      <c r="E56" s="47"/>
      <c r="F56" s="2303"/>
      <c r="G56" s="2303"/>
    </row>
    <row r="57" spans="1:7" s="2335" customFormat="1">
      <c r="A57" s="2221"/>
      <c r="B57" s="46"/>
      <c r="C57" s="2221"/>
      <c r="D57" s="2221"/>
      <c r="E57" s="47"/>
      <c r="F57" s="2303"/>
      <c r="G57" s="2303"/>
    </row>
    <row r="58" spans="1:7" s="2335" customFormat="1">
      <c r="A58" s="2221"/>
      <c r="B58" s="46"/>
      <c r="C58" s="2221"/>
      <c r="D58" s="2221"/>
      <c r="E58" s="47"/>
      <c r="F58" s="2303"/>
      <c r="G58" s="2303"/>
    </row>
    <row r="59" spans="1:7" s="2335" customFormat="1">
      <c r="A59" s="2221"/>
      <c r="B59" s="46"/>
      <c r="C59" s="2221"/>
      <c r="D59" s="2221"/>
      <c r="E59" s="47"/>
      <c r="F59" s="2303"/>
      <c r="G59" s="2303"/>
    </row>
    <row r="60" spans="1:7" s="2335" customFormat="1">
      <c r="A60" s="2221"/>
      <c r="B60" s="46"/>
      <c r="C60" s="2221"/>
      <c r="D60" s="2221"/>
      <c r="E60" s="47"/>
      <c r="F60" s="2303"/>
      <c r="G60" s="2303"/>
    </row>
    <row r="61" spans="1:7" s="2335" customFormat="1">
      <c r="A61" s="2221"/>
      <c r="B61" s="46"/>
      <c r="C61" s="2221"/>
      <c r="D61" s="2221"/>
      <c r="E61" s="47"/>
      <c r="F61" s="2303"/>
      <c r="G61" s="2303"/>
    </row>
    <row r="62" spans="1:7" s="2335" customFormat="1">
      <c r="A62" s="2221"/>
      <c r="B62" s="46"/>
      <c r="C62" s="2221"/>
      <c r="D62" s="2221"/>
      <c r="E62" s="47"/>
      <c r="F62" s="2303"/>
      <c r="G62" s="2303"/>
    </row>
    <row r="63" spans="1:7" s="2335" customFormat="1">
      <c r="A63" s="2221"/>
      <c r="B63" s="46"/>
      <c r="C63" s="2221"/>
      <c r="D63" s="2221"/>
      <c r="E63" s="47"/>
      <c r="F63" s="2303"/>
      <c r="G63" s="2303"/>
    </row>
    <row r="64" spans="1:7" s="2335" customFormat="1">
      <c r="A64" s="2221"/>
      <c r="B64" s="46"/>
      <c r="C64" s="2221"/>
      <c r="D64" s="2221"/>
      <c r="E64" s="47"/>
      <c r="F64" s="2303"/>
      <c r="G64" s="2303"/>
    </row>
    <row r="65" spans="1:7" s="2335" customFormat="1">
      <c r="A65" s="2221"/>
      <c r="B65" s="46"/>
      <c r="C65" s="2221"/>
      <c r="D65" s="2221"/>
      <c r="E65" s="47"/>
      <c r="F65" s="2303"/>
      <c r="G65" s="2303"/>
    </row>
    <row r="66" spans="1:7" s="2335" customFormat="1">
      <c r="A66" s="2221"/>
      <c r="B66" s="46"/>
      <c r="C66" s="2221"/>
      <c r="D66" s="2221"/>
      <c r="E66" s="47"/>
      <c r="F66" s="2303"/>
      <c r="G66" s="2303"/>
    </row>
    <row r="67" spans="1:7" s="2335" customFormat="1">
      <c r="A67" s="2221"/>
      <c r="B67" s="46"/>
      <c r="C67" s="2221"/>
      <c r="D67" s="2221"/>
      <c r="E67" s="47"/>
      <c r="F67" s="2303"/>
      <c r="G67" s="2303"/>
    </row>
    <row r="68" spans="1:7" s="2335" customFormat="1">
      <c r="A68" s="2221"/>
      <c r="B68" s="46"/>
      <c r="C68" s="2221"/>
      <c r="D68" s="2221"/>
      <c r="E68" s="47"/>
      <c r="F68" s="2303"/>
      <c r="G68" s="2303"/>
    </row>
    <row r="69" spans="1:7" s="2335" customFormat="1">
      <c r="A69" s="2221"/>
      <c r="B69" s="46"/>
      <c r="C69" s="2221"/>
      <c r="D69" s="2221"/>
      <c r="E69" s="47"/>
      <c r="F69" s="2303"/>
      <c r="G69" s="2303"/>
    </row>
    <row r="70" spans="1:7" s="2335" customFormat="1">
      <c r="A70" s="2303"/>
      <c r="B70" s="46"/>
      <c r="C70" s="2221"/>
      <c r="D70" s="2221"/>
      <c r="E70" s="47"/>
      <c r="F70" s="2303"/>
      <c r="G70" s="2303"/>
    </row>
    <row r="71" spans="1:7" s="2335" customFormat="1">
      <c r="A71" s="2303"/>
      <c r="B71" s="46"/>
      <c r="C71" s="2221"/>
      <c r="D71" s="2221"/>
      <c r="E71" s="47"/>
      <c r="F71" s="2303"/>
      <c r="G71" s="2303"/>
    </row>
    <row r="72" spans="1:7" s="2335" customFormat="1">
      <c r="A72" s="2303"/>
      <c r="B72" s="2351"/>
      <c r="C72" s="2303"/>
      <c r="D72" s="2303"/>
      <c r="E72" s="2352"/>
      <c r="F72" s="2303"/>
      <c r="G72" s="2303"/>
    </row>
    <row r="73" spans="1:7" s="2335" customFormat="1">
      <c r="A73" s="2303"/>
      <c r="B73" s="2351"/>
      <c r="C73" s="2303"/>
      <c r="D73" s="2303"/>
      <c r="E73" s="2352"/>
      <c r="F73" s="2303"/>
      <c r="G73" s="2303"/>
    </row>
    <row r="74" spans="1:7" s="2335" customFormat="1">
      <c r="A74" s="2303"/>
      <c r="B74" s="2351"/>
      <c r="C74" s="2303"/>
      <c r="D74" s="2303"/>
      <c r="E74" s="2352"/>
      <c r="F74" s="2303"/>
      <c r="G74" s="2303"/>
    </row>
    <row r="75" spans="1:7" s="2335" customFormat="1">
      <c r="A75" s="2303"/>
      <c r="B75" s="2351"/>
      <c r="C75" s="2303"/>
      <c r="D75" s="2303"/>
      <c r="E75" s="2352"/>
      <c r="F75" s="2303"/>
      <c r="G75" s="2303"/>
    </row>
    <row r="76" spans="1:7">
      <c r="B76" s="2351"/>
      <c r="E76" s="2352"/>
    </row>
    <row r="77" spans="1:7">
      <c r="B77" s="2351"/>
      <c r="E77" s="2352"/>
    </row>
    <row r="78" spans="1:7">
      <c r="B78" s="2351"/>
      <c r="E78" s="2352"/>
    </row>
    <row r="79" spans="1:7">
      <c r="B79" s="2351"/>
      <c r="E79" s="2352"/>
    </row>
    <row r="80" spans="1:7">
      <c r="B80" s="2351"/>
      <c r="E80" s="2352"/>
    </row>
    <row r="81" spans="2:5">
      <c r="B81" s="2351"/>
      <c r="E81" s="2352"/>
    </row>
    <row r="82" spans="2:5">
      <c r="B82" s="2351"/>
      <c r="E82" s="2352"/>
    </row>
    <row r="83" spans="2:5">
      <c r="B83" s="2351"/>
      <c r="E83" s="2352"/>
    </row>
    <row r="84" spans="2:5">
      <c r="B84" s="2351"/>
      <c r="E84" s="2352"/>
    </row>
    <row r="85" spans="2:5">
      <c r="B85" s="2351"/>
      <c r="E85" s="2352"/>
    </row>
    <row r="86" spans="2:5">
      <c r="B86" s="2351"/>
      <c r="E86" s="2352"/>
    </row>
    <row r="87" spans="2:5">
      <c r="B87" s="2351"/>
      <c r="E87" s="2352"/>
    </row>
    <row r="88" spans="2:5">
      <c r="E88" s="2352"/>
    </row>
    <row r="89" spans="2:5">
      <c r="E89" s="2352"/>
    </row>
    <row r="160" spans="4:4">
      <c r="D160" s="2353">
        <f>115000000+12000000</f>
        <v>127000000</v>
      </c>
    </row>
    <row r="268" spans="4:4">
      <c r="D268" s="2353"/>
    </row>
  </sheetData>
  <mergeCells count="51">
    <mergeCell ref="D1:E1"/>
    <mergeCell ref="A2:E2"/>
    <mergeCell ref="A4:E4"/>
    <mergeCell ref="A5:E5"/>
    <mergeCell ref="A7:A9"/>
    <mergeCell ref="B7:D7"/>
    <mergeCell ref="B8:B9"/>
    <mergeCell ref="C8:D8"/>
    <mergeCell ref="A10:A14"/>
    <mergeCell ref="B10:D10"/>
    <mergeCell ref="B11:B12"/>
    <mergeCell ref="C11:D11"/>
    <mergeCell ref="B13:B14"/>
    <mergeCell ref="C13:D13"/>
    <mergeCell ref="A15:A17"/>
    <mergeCell ref="B15:D15"/>
    <mergeCell ref="B16:B17"/>
    <mergeCell ref="C16:D16"/>
    <mergeCell ref="A18:A20"/>
    <mergeCell ref="B18:D18"/>
    <mergeCell ref="B19:B20"/>
    <mergeCell ref="C19:D19"/>
    <mergeCell ref="A21:A27"/>
    <mergeCell ref="B21:D21"/>
    <mergeCell ref="B22:B23"/>
    <mergeCell ref="C22:D22"/>
    <mergeCell ref="B24:B25"/>
    <mergeCell ref="C24:D24"/>
    <mergeCell ref="B26:B27"/>
    <mergeCell ref="C26:D26"/>
    <mergeCell ref="A28:A30"/>
    <mergeCell ref="B28:D28"/>
    <mergeCell ref="B29:B30"/>
    <mergeCell ref="C29:D29"/>
    <mergeCell ref="A31:A37"/>
    <mergeCell ref="B31:D31"/>
    <mergeCell ref="B32:B33"/>
    <mergeCell ref="C32:D32"/>
    <mergeCell ref="B34:B35"/>
    <mergeCell ref="C34:D34"/>
    <mergeCell ref="B36:B37"/>
    <mergeCell ref="C36:D36"/>
    <mergeCell ref="A44:D44"/>
    <mergeCell ref="A38:A40"/>
    <mergeCell ref="B38:D38"/>
    <mergeCell ref="B39:B40"/>
    <mergeCell ref="C39:D39"/>
    <mergeCell ref="A41:A43"/>
    <mergeCell ref="B41:D41"/>
    <mergeCell ref="B42:B43"/>
    <mergeCell ref="C42:D42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105" orientation="portrait" r:id="rId1"/>
  <headerFooter>
    <oddFooter>Strona &amp;P z &amp;N</oddFooter>
  </headerFooter>
  <rowBreaks count="1" manualBreakCount="1">
    <brk id="37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M333"/>
  <sheetViews>
    <sheetView view="pageBreakPreview" zoomScale="110" zoomScaleNormal="75" zoomScaleSheetLayoutView="110" workbookViewId="0">
      <pane ySplit="5" topLeftCell="A6" activePane="bottomLeft" state="frozen"/>
      <selection activeCell="R460" sqref="R460"/>
      <selection pane="bottomLeft" activeCell="R460" sqref="R460"/>
    </sheetView>
  </sheetViews>
  <sheetFormatPr defaultRowHeight="15.75"/>
  <cols>
    <col min="1" max="1" width="5.5703125" style="2393" bestFit="1" customWidth="1"/>
    <col min="2" max="2" width="8.85546875" style="2392" bestFit="1" customWidth="1"/>
    <col min="3" max="3" width="26.42578125" style="2221" customWidth="1"/>
    <col min="4" max="4" width="8.85546875" style="2221" bestFit="1" customWidth="1"/>
    <col min="5" max="5" width="10.28515625" style="2221" customWidth="1"/>
    <col min="6" max="6" width="10.28515625" style="2221" bestFit="1" customWidth="1"/>
    <col min="7" max="7" width="13.28515625" style="2221" customWidth="1"/>
    <col min="8" max="8" width="9.7109375" style="2221" bestFit="1" customWidth="1"/>
    <col min="9" max="9" width="12.85546875" style="2221" bestFit="1" customWidth="1"/>
    <col min="10" max="10" width="10.85546875" style="2221" customWidth="1"/>
    <col min="11" max="11" width="12.42578125" style="2221" customWidth="1"/>
    <col min="12" max="12" width="10.5703125" style="2221" customWidth="1"/>
    <col min="13" max="13" width="9.7109375" style="2221" customWidth="1"/>
    <col min="14" max="16384" width="9.140625" style="2221"/>
  </cols>
  <sheetData>
    <row r="1" spans="1:13" ht="23.25" customHeight="1">
      <c r="A1" s="3120" t="s">
        <v>1027</v>
      </c>
      <c r="B1" s="3120"/>
      <c r="C1" s="3120"/>
      <c r="D1" s="3120"/>
      <c r="E1" s="3120"/>
      <c r="F1" s="3120"/>
      <c r="G1" s="3120"/>
      <c r="H1" s="3120"/>
      <c r="I1" s="3120"/>
      <c r="J1" s="3120"/>
      <c r="K1" s="3120"/>
      <c r="L1" s="3120"/>
    </row>
    <row r="2" spans="1:13" ht="13.5" thickBot="1">
      <c r="A2" s="3488" t="s">
        <v>1028</v>
      </c>
      <c r="B2" s="3488"/>
      <c r="C2" s="3488"/>
      <c r="D2" s="3488"/>
      <c r="E2" s="3488"/>
      <c r="F2" s="3488"/>
      <c r="G2" s="3488"/>
      <c r="H2" s="3488"/>
      <c r="I2" s="3488"/>
      <c r="J2" s="3488"/>
      <c r="K2" s="3488"/>
      <c r="L2" s="3488"/>
    </row>
    <row r="3" spans="1:13" ht="12.75">
      <c r="A3" s="3438" t="s">
        <v>0</v>
      </c>
      <c r="B3" s="3440" t="s">
        <v>1</v>
      </c>
      <c r="C3" s="3440" t="s">
        <v>51</v>
      </c>
      <c r="D3" s="3458" t="s">
        <v>3</v>
      </c>
      <c r="E3" s="3442" t="s">
        <v>1006</v>
      </c>
      <c r="F3" s="3442" t="s">
        <v>1007</v>
      </c>
      <c r="G3" s="3517" t="s">
        <v>1029</v>
      </c>
      <c r="H3" s="3518"/>
      <c r="I3" s="3518"/>
      <c r="J3" s="3518"/>
      <c r="K3" s="3519"/>
      <c r="L3" s="3427" t="s">
        <v>1008</v>
      </c>
    </row>
    <row r="4" spans="1:13" ht="12.75" customHeight="1">
      <c r="A4" s="3439"/>
      <c r="B4" s="3441"/>
      <c r="C4" s="3441"/>
      <c r="D4" s="3514"/>
      <c r="E4" s="3443"/>
      <c r="F4" s="3443"/>
      <c r="G4" s="3443" t="s">
        <v>1030</v>
      </c>
      <c r="H4" s="3441" t="s">
        <v>2</v>
      </c>
      <c r="I4" s="3441"/>
      <c r="J4" s="3443" t="s">
        <v>1031</v>
      </c>
      <c r="K4" s="3521" t="s">
        <v>1032</v>
      </c>
      <c r="L4" s="3428"/>
    </row>
    <row r="5" spans="1:13" ht="77.25" customHeight="1" thickBot="1">
      <c r="A5" s="3512"/>
      <c r="B5" s="3513"/>
      <c r="C5" s="3513"/>
      <c r="D5" s="3515"/>
      <c r="E5" s="3516"/>
      <c r="F5" s="3516"/>
      <c r="G5" s="3516"/>
      <c r="H5" s="2354" t="s">
        <v>1033</v>
      </c>
      <c r="I5" s="2354" t="s">
        <v>1034</v>
      </c>
      <c r="J5" s="3516"/>
      <c r="K5" s="3522"/>
      <c r="L5" s="3520"/>
    </row>
    <row r="6" spans="1:13" ht="30" customHeight="1">
      <c r="A6" s="3489" t="s">
        <v>57</v>
      </c>
      <c r="B6" s="3511" t="s">
        <v>228</v>
      </c>
      <c r="C6" s="3511"/>
      <c r="D6" s="2355"/>
      <c r="E6" s="2356">
        <f>SUM(E7)</f>
        <v>150000</v>
      </c>
      <c r="F6" s="2356">
        <f>SUM(F7)</f>
        <v>150000</v>
      </c>
      <c r="G6" s="2356">
        <f>SUM(H6:I6)</f>
        <v>150000</v>
      </c>
      <c r="H6" s="2356">
        <f>SUM(H7)</f>
        <v>150000</v>
      </c>
      <c r="I6" s="2356"/>
      <c r="J6" s="2356"/>
      <c r="K6" s="2356"/>
      <c r="L6" s="2357"/>
      <c r="M6" s="107"/>
    </row>
    <row r="7" spans="1:13" ht="27.75" customHeight="1">
      <c r="A7" s="3482"/>
      <c r="B7" s="3498" t="s">
        <v>59</v>
      </c>
      <c r="C7" s="3493" t="s">
        <v>254</v>
      </c>
      <c r="D7" s="2358" t="s">
        <v>1035</v>
      </c>
      <c r="E7" s="2359">
        <f>SUM(F7,L7)</f>
        <v>150000</v>
      </c>
      <c r="F7" s="2359">
        <f>SUM(G7,J7,K7)</f>
        <v>150000</v>
      </c>
      <c r="G7" s="2359">
        <f>SUM(H7:I7)</f>
        <v>150000</v>
      </c>
      <c r="H7" s="2359">
        <f>SUM(H8:H10)</f>
        <v>150000</v>
      </c>
      <c r="I7" s="2359"/>
      <c r="J7" s="2359"/>
      <c r="K7" s="2359"/>
      <c r="L7" s="2360"/>
    </row>
    <row r="8" spans="1:13" ht="12.75">
      <c r="A8" s="3482"/>
      <c r="B8" s="3499"/>
      <c r="C8" s="3494"/>
      <c r="D8" s="2361">
        <v>4010</v>
      </c>
      <c r="E8" s="2362">
        <f>SUM(F8,L8)</f>
        <v>125177</v>
      </c>
      <c r="F8" s="2362">
        <f>SUM(G8,J8,K8)</f>
        <v>125177</v>
      </c>
      <c r="G8" s="2362">
        <f>H8+I8</f>
        <v>125177</v>
      </c>
      <c r="H8" s="2362">
        <v>125177</v>
      </c>
      <c r="I8" s="2362"/>
      <c r="J8" s="2362"/>
      <c r="K8" s="2362"/>
      <c r="L8" s="2363"/>
    </row>
    <row r="9" spans="1:13" ht="12.75">
      <c r="A9" s="3482"/>
      <c r="B9" s="3499"/>
      <c r="C9" s="3494"/>
      <c r="D9" s="2361">
        <v>4110</v>
      </c>
      <c r="E9" s="2362">
        <f>SUM(F9,L9)</f>
        <v>21756</v>
      </c>
      <c r="F9" s="2362">
        <f t="shared" ref="F9:F10" si="0">SUM(G9,J9,K9)</f>
        <v>21756</v>
      </c>
      <c r="G9" s="2362">
        <f t="shared" ref="G9:G10" si="1">H9+I9</f>
        <v>21756</v>
      </c>
      <c r="H9" s="2362">
        <v>21756</v>
      </c>
      <c r="I9" s="2362"/>
      <c r="J9" s="2362"/>
      <c r="K9" s="2362"/>
      <c r="L9" s="2363"/>
    </row>
    <row r="10" spans="1:13" ht="12.75">
      <c r="A10" s="3483"/>
      <c r="B10" s="3500"/>
      <c r="C10" s="3501"/>
      <c r="D10" s="2361">
        <v>4120</v>
      </c>
      <c r="E10" s="2362">
        <f t="shared" ref="E10" si="2">SUM(F10,L10)</f>
        <v>3067</v>
      </c>
      <c r="F10" s="2362">
        <f t="shared" si="0"/>
        <v>3067</v>
      </c>
      <c r="G10" s="2362">
        <f t="shared" si="1"/>
        <v>3067</v>
      </c>
      <c r="H10" s="2362">
        <v>3067</v>
      </c>
      <c r="I10" s="2362"/>
      <c r="J10" s="2362"/>
      <c r="K10" s="2362"/>
      <c r="L10" s="2363"/>
    </row>
    <row r="11" spans="1:13" ht="30.75" customHeight="1">
      <c r="A11" s="3481" t="s">
        <v>4</v>
      </c>
      <c r="B11" s="3509" t="s">
        <v>82</v>
      </c>
      <c r="C11" s="3509"/>
      <c r="D11" s="2364"/>
      <c r="E11" s="2365">
        <f>F11+L11</f>
        <v>55163000</v>
      </c>
      <c r="F11" s="2365">
        <f>G11+J11+K11</f>
        <v>55163000</v>
      </c>
      <c r="G11" s="2365">
        <f>H11+I11</f>
        <v>163000</v>
      </c>
      <c r="H11" s="2365">
        <f>H12+H13</f>
        <v>83000</v>
      </c>
      <c r="I11" s="2365">
        <f>I12+I13</f>
        <v>80000</v>
      </c>
      <c r="J11" s="2365">
        <f>SUM(J12)</f>
        <v>55000000</v>
      </c>
      <c r="K11" s="2365"/>
      <c r="L11" s="2366"/>
    </row>
    <row r="12" spans="1:13" ht="27.75" customHeight="1">
      <c r="A12" s="3482"/>
      <c r="B12" s="2367" t="s">
        <v>678</v>
      </c>
      <c r="C12" s="2358" t="s">
        <v>287</v>
      </c>
      <c r="D12" s="2358">
        <v>2630</v>
      </c>
      <c r="E12" s="2359">
        <f>SUM(F12,L12)</f>
        <v>55000000</v>
      </c>
      <c r="F12" s="2359">
        <f t="shared" ref="F12:F27" si="3">SUM(G12,J12,K12)</f>
        <v>55000000</v>
      </c>
      <c r="G12" s="2359"/>
      <c r="H12" s="2359"/>
      <c r="I12" s="2359"/>
      <c r="J12" s="2359">
        <v>55000000</v>
      </c>
      <c r="K12" s="2359"/>
      <c r="L12" s="2360"/>
    </row>
    <row r="13" spans="1:13" ht="27.75" customHeight="1">
      <c r="A13" s="3482"/>
      <c r="B13" s="3498" t="s">
        <v>697</v>
      </c>
      <c r="C13" s="3493" t="s">
        <v>254</v>
      </c>
      <c r="D13" s="2358" t="s">
        <v>1035</v>
      </c>
      <c r="E13" s="2359">
        <f>SUM(F13,L13)</f>
        <v>163000</v>
      </c>
      <c r="F13" s="2359">
        <f>SUM(G13,J13,K13)</f>
        <v>163000</v>
      </c>
      <c r="G13" s="2359">
        <f>SUM(H13:I13)</f>
        <v>163000</v>
      </c>
      <c r="H13" s="2359">
        <f>SUM(H14:H17)</f>
        <v>83000</v>
      </c>
      <c r="I13" s="2359">
        <f>SUM(I14:I17)</f>
        <v>80000</v>
      </c>
      <c r="J13" s="2368"/>
      <c r="K13" s="2368"/>
      <c r="L13" s="2369"/>
    </row>
    <row r="14" spans="1:13" ht="12.75">
      <c r="A14" s="3482"/>
      <c r="B14" s="3499"/>
      <c r="C14" s="3494"/>
      <c r="D14" s="2361">
        <v>4010</v>
      </c>
      <c r="E14" s="2362">
        <f>SUM(F14,L14)</f>
        <v>69265</v>
      </c>
      <c r="F14" s="2362">
        <f t="shared" si="3"/>
        <v>69265</v>
      </c>
      <c r="G14" s="2362">
        <f>SUM(H14:I14)</f>
        <v>69265</v>
      </c>
      <c r="H14" s="2362">
        <v>69265</v>
      </c>
      <c r="I14" s="2362"/>
      <c r="J14" s="2362"/>
      <c r="K14" s="2362"/>
      <c r="L14" s="2363"/>
      <c r="M14" s="107"/>
    </row>
    <row r="15" spans="1:13" ht="12.75">
      <c r="A15" s="3482"/>
      <c r="B15" s="3499"/>
      <c r="C15" s="3494"/>
      <c r="D15" s="2361">
        <v>4110</v>
      </c>
      <c r="E15" s="2362">
        <f t="shared" ref="E15:E17" si="4">SUM(F15,L15)</f>
        <v>12038</v>
      </c>
      <c r="F15" s="2362">
        <f t="shared" si="3"/>
        <v>12038</v>
      </c>
      <c r="G15" s="2362">
        <f t="shared" ref="G15:G17" si="5">SUM(H15:I15)</f>
        <v>12038</v>
      </c>
      <c r="H15" s="2362">
        <v>12038</v>
      </c>
      <c r="I15" s="2362"/>
      <c r="J15" s="2362"/>
      <c r="K15" s="2362"/>
      <c r="L15" s="2363"/>
      <c r="M15" s="107"/>
    </row>
    <row r="16" spans="1:13" ht="12.75">
      <c r="A16" s="3482"/>
      <c r="B16" s="3499"/>
      <c r="C16" s="3494"/>
      <c r="D16" s="2361">
        <v>4120</v>
      </c>
      <c r="E16" s="2362">
        <f t="shared" si="4"/>
        <v>1697</v>
      </c>
      <c r="F16" s="2362">
        <f t="shared" si="3"/>
        <v>1697</v>
      </c>
      <c r="G16" s="2362">
        <f t="shared" si="5"/>
        <v>1697</v>
      </c>
      <c r="H16" s="2362">
        <v>1697</v>
      </c>
      <c r="I16" s="2362"/>
      <c r="J16" s="2362"/>
      <c r="K16" s="2362"/>
      <c r="L16" s="2363"/>
      <c r="M16" s="107"/>
    </row>
    <row r="17" spans="1:13" ht="12.75">
      <c r="A17" s="3483"/>
      <c r="B17" s="3500"/>
      <c r="C17" s="3501"/>
      <c r="D17" s="2361">
        <v>4300</v>
      </c>
      <c r="E17" s="2362">
        <f t="shared" si="4"/>
        <v>80000</v>
      </c>
      <c r="F17" s="2362">
        <f t="shared" si="3"/>
        <v>80000</v>
      </c>
      <c r="G17" s="2362">
        <f t="shared" si="5"/>
        <v>80000</v>
      </c>
      <c r="H17" s="2362"/>
      <c r="I17" s="2362">
        <v>80000</v>
      </c>
      <c r="J17" s="2362"/>
      <c r="K17" s="2362"/>
      <c r="L17" s="2363"/>
      <c r="M17" s="107"/>
    </row>
    <row r="18" spans="1:13" ht="29.25" customHeight="1">
      <c r="A18" s="3481" t="s">
        <v>62</v>
      </c>
      <c r="B18" s="3504" t="s">
        <v>308</v>
      </c>
      <c r="C18" s="3504"/>
      <c r="D18" s="2370"/>
      <c r="E18" s="2365">
        <f>F18+L18</f>
        <v>35000</v>
      </c>
      <c r="F18" s="2365">
        <f>SUM(G18,J18,K18)</f>
        <v>35000</v>
      </c>
      <c r="G18" s="2365">
        <f>SUM(H18:I18)</f>
        <v>35000</v>
      </c>
      <c r="H18" s="2365">
        <f>SUM(H19)</f>
        <v>35000</v>
      </c>
      <c r="I18" s="2365"/>
      <c r="J18" s="2365"/>
      <c r="K18" s="2365"/>
      <c r="L18" s="2366"/>
    </row>
    <row r="19" spans="1:13" ht="27" customHeight="1">
      <c r="A19" s="3482"/>
      <c r="B19" s="3498" t="s">
        <v>704</v>
      </c>
      <c r="C19" s="3493" t="s">
        <v>254</v>
      </c>
      <c r="D19" s="2358" t="s">
        <v>1035</v>
      </c>
      <c r="E19" s="2359">
        <f>F19+L19</f>
        <v>35000</v>
      </c>
      <c r="F19" s="2359">
        <f t="shared" ref="F19:F22" si="6">SUM(G19,J19,K19)</f>
        <v>35000</v>
      </c>
      <c r="G19" s="2359">
        <f>SUM(H19:I19)</f>
        <v>35000</v>
      </c>
      <c r="H19" s="2359">
        <f>SUM(H20:H22)</f>
        <v>35000</v>
      </c>
      <c r="I19" s="2359"/>
      <c r="J19" s="2359"/>
      <c r="K19" s="2359"/>
      <c r="L19" s="2360"/>
    </row>
    <row r="20" spans="1:13" ht="12.75">
      <c r="A20" s="3482"/>
      <c r="B20" s="3499"/>
      <c r="C20" s="3494"/>
      <c r="D20" s="2361">
        <v>4010</v>
      </c>
      <c r="E20" s="2362">
        <f>SUM(F20,L20)</f>
        <v>29208</v>
      </c>
      <c r="F20" s="2362">
        <f t="shared" si="6"/>
        <v>29208</v>
      </c>
      <c r="G20" s="2362">
        <f>SUM(H20:I20)</f>
        <v>29208</v>
      </c>
      <c r="H20" s="2362">
        <v>29208</v>
      </c>
      <c r="I20" s="2362"/>
      <c r="J20" s="2362"/>
      <c r="K20" s="2362"/>
      <c r="L20" s="2363"/>
      <c r="M20" s="107"/>
    </row>
    <row r="21" spans="1:13" ht="12.75">
      <c r="A21" s="3482"/>
      <c r="B21" s="3499"/>
      <c r="C21" s="3494"/>
      <c r="D21" s="2361">
        <v>4110</v>
      </c>
      <c r="E21" s="2362">
        <f t="shared" ref="E21:E22" si="7">SUM(F21,L21)</f>
        <v>5076</v>
      </c>
      <c r="F21" s="2362">
        <f t="shared" si="6"/>
        <v>5076</v>
      </c>
      <c r="G21" s="2362">
        <f t="shared" ref="G21:G22" si="8">SUM(H21:I21)</f>
        <v>5076</v>
      </c>
      <c r="H21" s="2362">
        <v>5076</v>
      </c>
      <c r="I21" s="2362"/>
      <c r="J21" s="2362"/>
      <c r="K21" s="2362"/>
      <c r="L21" s="2363"/>
      <c r="M21" s="107"/>
    </row>
    <row r="22" spans="1:13" ht="12.75">
      <c r="A22" s="3482"/>
      <c r="B22" s="3499"/>
      <c r="C22" s="3494"/>
      <c r="D22" s="2361">
        <v>4120</v>
      </c>
      <c r="E22" s="2362">
        <f t="shared" si="7"/>
        <v>716</v>
      </c>
      <c r="F22" s="2362">
        <f t="shared" si="6"/>
        <v>716</v>
      </c>
      <c r="G22" s="2362">
        <f t="shared" si="8"/>
        <v>716</v>
      </c>
      <c r="H22" s="2362">
        <v>716</v>
      </c>
      <c r="I22" s="2362"/>
      <c r="J22" s="2362"/>
      <c r="K22" s="2362"/>
      <c r="L22" s="2363"/>
      <c r="M22" s="107"/>
    </row>
    <row r="23" spans="1:13" ht="29.25" customHeight="1">
      <c r="A23" s="3481" t="s">
        <v>710</v>
      </c>
      <c r="B23" s="3504" t="s">
        <v>320</v>
      </c>
      <c r="C23" s="3504"/>
      <c r="D23" s="2370"/>
      <c r="E23" s="2365">
        <f>F23+L23</f>
        <v>497000</v>
      </c>
      <c r="F23" s="2365">
        <f>SUM(G23,J23,K23)</f>
        <v>497000</v>
      </c>
      <c r="G23" s="2365">
        <f>SUM(H23:I23)</f>
        <v>497000</v>
      </c>
      <c r="H23" s="2365">
        <f>SUM(H24)</f>
        <v>497000</v>
      </c>
      <c r="I23" s="2365"/>
      <c r="J23" s="2365"/>
      <c r="K23" s="2365"/>
      <c r="L23" s="2366"/>
    </row>
    <row r="24" spans="1:13" ht="27" customHeight="1">
      <c r="A24" s="3482"/>
      <c r="B24" s="3498" t="s">
        <v>716</v>
      </c>
      <c r="C24" s="3493" t="s">
        <v>1036</v>
      </c>
      <c r="D24" s="2358" t="s">
        <v>1035</v>
      </c>
      <c r="E24" s="2359">
        <f>F24+L24</f>
        <v>497000</v>
      </c>
      <c r="F24" s="2359">
        <f t="shared" si="3"/>
        <v>497000</v>
      </c>
      <c r="G24" s="2359">
        <f>SUM(H24:I24)</f>
        <v>497000</v>
      </c>
      <c r="H24" s="2359">
        <f>SUM(H25:H27)</f>
        <v>497000</v>
      </c>
      <c r="I24" s="2359"/>
      <c r="J24" s="2359"/>
      <c r="K24" s="2359"/>
      <c r="L24" s="2360"/>
    </row>
    <row r="25" spans="1:13" ht="12.75">
      <c r="A25" s="3482"/>
      <c r="B25" s="3499"/>
      <c r="C25" s="3494"/>
      <c r="D25" s="2361">
        <v>4010</v>
      </c>
      <c r="E25" s="2362">
        <f>SUM(F25,L25)</f>
        <v>413600</v>
      </c>
      <c r="F25" s="2362">
        <f t="shared" si="3"/>
        <v>413600</v>
      </c>
      <c r="G25" s="2362">
        <f>SUM(H25:I25)</f>
        <v>413600</v>
      </c>
      <c r="H25" s="2362">
        <f>331400+82200</f>
        <v>413600</v>
      </c>
      <c r="I25" s="2362"/>
      <c r="J25" s="2362"/>
      <c r="K25" s="2362"/>
      <c r="L25" s="2363"/>
      <c r="M25" s="107"/>
    </row>
    <row r="26" spans="1:13" ht="12.75">
      <c r="A26" s="3482"/>
      <c r="B26" s="3499"/>
      <c r="C26" s="3494"/>
      <c r="D26" s="2361">
        <v>4110</v>
      </c>
      <c r="E26" s="2362">
        <f t="shared" ref="E26:E32" si="9">SUM(F26,L26)</f>
        <v>73680</v>
      </c>
      <c r="F26" s="2362">
        <f t="shared" si="3"/>
        <v>73680</v>
      </c>
      <c r="G26" s="2362">
        <f t="shared" ref="G26:G27" si="10">SUM(H26:I26)</f>
        <v>73680</v>
      </c>
      <c r="H26" s="2362">
        <f>59500+14180</f>
        <v>73680</v>
      </c>
      <c r="I26" s="2362"/>
      <c r="J26" s="2362"/>
      <c r="K26" s="2362"/>
      <c r="L26" s="2363"/>
      <c r="M26" s="107"/>
    </row>
    <row r="27" spans="1:13" ht="12.75">
      <c r="A27" s="3482"/>
      <c r="B27" s="3499"/>
      <c r="C27" s="3494"/>
      <c r="D27" s="2361">
        <v>4120</v>
      </c>
      <c r="E27" s="2362">
        <f t="shared" si="9"/>
        <v>9720</v>
      </c>
      <c r="F27" s="2362">
        <f t="shared" si="3"/>
        <v>9720</v>
      </c>
      <c r="G27" s="2362">
        <f t="shared" si="10"/>
        <v>9720</v>
      </c>
      <c r="H27" s="2362">
        <f>8100+1620</f>
        <v>9720</v>
      </c>
      <c r="I27" s="2362"/>
      <c r="J27" s="2362"/>
      <c r="K27" s="2362"/>
      <c r="L27" s="2363"/>
      <c r="M27" s="107"/>
    </row>
    <row r="28" spans="1:13" ht="29.25" customHeight="1">
      <c r="A28" s="3481" t="s">
        <v>731</v>
      </c>
      <c r="B28" s="3509" t="s">
        <v>340</v>
      </c>
      <c r="C28" s="3509"/>
      <c r="D28" s="2371"/>
      <c r="E28" s="2365">
        <f>SUM(F28,L28)</f>
        <v>368000</v>
      </c>
      <c r="F28" s="2365">
        <f>SUM(G28,J28,K28)</f>
        <v>368000</v>
      </c>
      <c r="G28" s="2365">
        <f>SUM(H28:I28)</f>
        <v>364000</v>
      </c>
      <c r="H28" s="2365">
        <f>SUM(H29,H33,H39)</f>
        <v>285000</v>
      </c>
      <c r="I28" s="2365">
        <f t="shared" ref="I28:K28" si="11">SUM(I29,I33,I39)</f>
        <v>79000</v>
      </c>
      <c r="J28" s="2365"/>
      <c r="K28" s="2365">
        <f t="shared" si="11"/>
        <v>4000</v>
      </c>
      <c r="L28" s="2366"/>
    </row>
    <row r="29" spans="1:13" s="2373" customFormat="1" ht="23.25" customHeight="1">
      <c r="A29" s="3482"/>
      <c r="B29" s="3498" t="s">
        <v>733</v>
      </c>
      <c r="C29" s="3493" t="s">
        <v>341</v>
      </c>
      <c r="D29" s="2358" t="s">
        <v>1035</v>
      </c>
      <c r="E29" s="2359">
        <f t="shared" si="9"/>
        <v>147000</v>
      </c>
      <c r="F29" s="2359">
        <f>SUM(G29,J29,K29)</f>
        <v>147000</v>
      </c>
      <c r="G29" s="2359">
        <f>SUM(H29:I29)</f>
        <v>147000</v>
      </c>
      <c r="H29" s="2359">
        <f>SUM(H30:H32)</f>
        <v>147000</v>
      </c>
      <c r="I29" s="2359"/>
      <c r="J29" s="2359"/>
      <c r="K29" s="2359"/>
      <c r="L29" s="2360"/>
      <c r="M29" s="2372"/>
    </row>
    <row r="30" spans="1:13" s="2373" customFormat="1" ht="12.75">
      <c r="A30" s="3482"/>
      <c r="B30" s="3499"/>
      <c r="C30" s="3494"/>
      <c r="D30" s="2361">
        <v>4010</v>
      </c>
      <c r="E30" s="2362">
        <f t="shared" si="9"/>
        <v>122674</v>
      </c>
      <c r="F30" s="2362">
        <f>SUM(G30,J30,K30)</f>
        <v>122674</v>
      </c>
      <c r="G30" s="2362">
        <f>SUM(H30:I30)</f>
        <v>122674</v>
      </c>
      <c r="H30" s="2362">
        <v>122674</v>
      </c>
      <c r="I30" s="2362"/>
      <c r="J30" s="2362"/>
      <c r="K30" s="2362"/>
      <c r="L30" s="2363"/>
    </row>
    <row r="31" spans="1:13" s="2373" customFormat="1" ht="12.75">
      <c r="A31" s="3482"/>
      <c r="B31" s="3499"/>
      <c r="C31" s="3494"/>
      <c r="D31" s="2361">
        <v>4110</v>
      </c>
      <c r="E31" s="2362">
        <f t="shared" si="9"/>
        <v>21321</v>
      </c>
      <c r="F31" s="2362">
        <f t="shared" ref="F31:F32" si="12">SUM(G31,J31,K31)</f>
        <v>21321</v>
      </c>
      <c r="G31" s="2362">
        <f t="shared" ref="G31:G32" si="13">SUM(H31:I31)</f>
        <v>21321</v>
      </c>
      <c r="H31" s="2362">
        <v>21321</v>
      </c>
      <c r="I31" s="2362"/>
      <c r="J31" s="2362"/>
      <c r="K31" s="2362"/>
      <c r="L31" s="2363"/>
      <c r="M31" s="2372"/>
    </row>
    <row r="32" spans="1:13" s="2373" customFormat="1" ht="12.75">
      <c r="A32" s="3482"/>
      <c r="B32" s="3500"/>
      <c r="C32" s="3501"/>
      <c r="D32" s="2361">
        <v>4120</v>
      </c>
      <c r="E32" s="2362">
        <f t="shared" si="9"/>
        <v>3005</v>
      </c>
      <c r="F32" s="2362">
        <f t="shared" si="12"/>
        <v>3005</v>
      </c>
      <c r="G32" s="2362">
        <f t="shared" si="13"/>
        <v>3005</v>
      </c>
      <c r="H32" s="2362">
        <v>3005</v>
      </c>
      <c r="I32" s="2362"/>
      <c r="J32" s="2362"/>
      <c r="K32" s="2362"/>
      <c r="L32" s="2363"/>
    </row>
    <row r="33" spans="1:13" ht="24" customHeight="1">
      <c r="A33" s="3482"/>
      <c r="B33" s="3498" t="s">
        <v>758</v>
      </c>
      <c r="C33" s="3493" t="s">
        <v>348</v>
      </c>
      <c r="D33" s="2358" t="s">
        <v>1035</v>
      </c>
      <c r="E33" s="2359">
        <f>SUM(F33,L33)</f>
        <v>20000</v>
      </c>
      <c r="F33" s="2359">
        <f>SUM(G33,J33,K33)</f>
        <v>20000</v>
      </c>
      <c r="G33" s="2359">
        <f>SUM(H33:I33)</f>
        <v>20000</v>
      </c>
      <c r="H33" s="2359">
        <f>SUM(H34:H38)</f>
        <v>10000</v>
      </c>
      <c r="I33" s="2359">
        <f>SUM(I34:I38)</f>
        <v>10000</v>
      </c>
      <c r="J33" s="2368"/>
      <c r="K33" s="2368"/>
      <c r="L33" s="2369"/>
    </row>
    <row r="34" spans="1:13" ht="12.75">
      <c r="A34" s="3482"/>
      <c r="B34" s="3499"/>
      <c r="C34" s="3494"/>
      <c r="D34" s="2361">
        <v>4110</v>
      </c>
      <c r="E34" s="2362">
        <f>SUM(F34,L34)</f>
        <v>700</v>
      </c>
      <c r="F34" s="2362">
        <f>SUM(G34,J34,K34)</f>
        <v>700</v>
      </c>
      <c r="G34" s="2362">
        <f>SUM(H34:I34)</f>
        <v>700</v>
      </c>
      <c r="H34" s="2362">
        <v>700</v>
      </c>
      <c r="I34" s="2362"/>
      <c r="J34" s="2374"/>
      <c r="K34" s="2374"/>
      <c r="L34" s="2375"/>
    </row>
    <row r="35" spans="1:13" ht="12.75">
      <c r="A35" s="3482"/>
      <c r="B35" s="3499"/>
      <c r="C35" s="3494"/>
      <c r="D35" s="2361">
        <v>4120</v>
      </c>
      <c r="E35" s="2362">
        <f t="shared" ref="E35:E50" si="14">SUM(F35,L35)</f>
        <v>140</v>
      </c>
      <c r="F35" s="2362">
        <f t="shared" ref="F35:F38" si="15">SUM(G35,J35,K35)</f>
        <v>140</v>
      </c>
      <c r="G35" s="2362">
        <f t="shared" ref="G35:G60" si="16">SUM(H35:I35)</f>
        <v>140</v>
      </c>
      <c r="H35" s="2362">
        <v>140</v>
      </c>
      <c r="I35" s="2362"/>
      <c r="J35" s="2374"/>
      <c r="K35" s="2374"/>
      <c r="L35" s="2375"/>
    </row>
    <row r="36" spans="1:13" ht="12.75">
      <c r="A36" s="3482"/>
      <c r="B36" s="3499"/>
      <c r="C36" s="3494"/>
      <c r="D36" s="2361">
        <v>4170</v>
      </c>
      <c r="E36" s="2362">
        <f t="shared" si="14"/>
        <v>9160</v>
      </c>
      <c r="F36" s="2362">
        <f t="shared" si="15"/>
        <v>9160</v>
      </c>
      <c r="G36" s="2362">
        <f t="shared" si="16"/>
        <v>9160</v>
      </c>
      <c r="H36" s="2362">
        <v>9160</v>
      </c>
      <c r="I36" s="2362"/>
      <c r="J36" s="2374"/>
      <c r="K36" s="2374"/>
      <c r="L36" s="2375"/>
      <c r="M36" s="107"/>
    </row>
    <row r="37" spans="1:13" ht="12.75">
      <c r="A37" s="3482"/>
      <c r="B37" s="3499"/>
      <c r="C37" s="3494"/>
      <c r="D37" s="2361">
        <v>4210</v>
      </c>
      <c r="E37" s="2362">
        <f t="shared" si="14"/>
        <v>1500</v>
      </c>
      <c r="F37" s="2362">
        <f t="shared" si="15"/>
        <v>1500</v>
      </c>
      <c r="G37" s="2362">
        <f t="shared" si="16"/>
        <v>1500</v>
      </c>
      <c r="H37" s="2362"/>
      <c r="I37" s="2362">
        <v>1500</v>
      </c>
      <c r="J37" s="2374"/>
      <c r="K37" s="2374"/>
      <c r="L37" s="2375"/>
    </row>
    <row r="38" spans="1:13" ht="12.75">
      <c r="A38" s="3482"/>
      <c r="B38" s="3500"/>
      <c r="C38" s="3501"/>
      <c r="D38" s="2361">
        <v>4300</v>
      </c>
      <c r="E38" s="2362">
        <f t="shared" si="14"/>
        <v>8500</v>
      </c>
      <c r="F38" s="2362">
        <f t="shared" si="15"/>
        <v>8500</v>
      </c>
      <c r="G38" s="2362">
        <f t="shared" si="16"/>
        <v>8500</v>
      </c>
      <c r="H38" s="2362"/>
      <c r="I38" s="2362">
        <v>8500</v>
      </c>
      <c r="J38" s="2374"/>
      <c r="K38" s="2374"/>
      <c r="L38" s="2375"/>
      <c r="M38" s="107"/>
    </row>
    <row r="39" spans="1:13" s="2373" customFormat="1" ht="23.25" customHeight="1">
      <c r="A39" s="3482"/>
      <c r="B39" s="3498" t="s">
        <v>765</v>
      </c>
      <c r="C39" s="3493" t="s">
        <v>359</v>
      </c>
      <c r="D39" s="2358" t="s">
        <v>1035</v>
      </c>
      <c r="E39" s="2359">
        <f>SUM(F39,L39)</f>
        <v>201000</v>
      </c>
      <c r="F39" s="2359">
        <f>SUM(G39,J39,K39)</f>
        <v>201000</v>
      </c>
      <c r="G39" s="2359">
        <f>SUM(H39:I39)</f>
        <v>197000</v>
      </c>
      <c r="H39" s="2359">
        <f>SUM(H41:H50)</f>
        <v>128000</v>
      </c>
      <c r="I39" s="2359">
        <f>SUM(I41:I50)</f>
        <v>69000</v>
      </c>
      <c r="J39" s="2359"/>
      <c r="K39" s="2359">
        <f>SUM(K40:K50)</f>
        <v>4000</v>
      </c>
      <c r="L39" s="2360"/>
      <c r="M39" s="2372"/>
    </row>
    <row r="40" spans="1:13" s="2377" customFormat="1" ht="12.75">
      <c r="A40" s="3482"/>
      <c r="B40" s="3499"/>
      <c r="C40" s="3494"/>
      <c r="D40" s="2361">
        <v>3030</v>
      </c>
      <c r="E40" s="2362">
        <f t="shared" si="14"/>
        <v>4000</v>
      </c>
      <c r="F40" s="2362">
        <f>SUM(G40,J40,K40)</f>
        <v>4000</v>
      </c>
      <c r="G40" s="2362"/>
      <c r="H40" s="2362"/>
      <c r="I40" s="2362"/>
      <c r="J40" s="2362"/>
      <c r="K40" s="2362">
        <v>4000</v>
      </c>
      <c r="L40" s="2363"/>
      <c r="M40" s="2376"/>
    </row>
    <row r="41" spans="1:13" s="2373" customFormat="1" ht="12.75">
      <c r="A41" s="3482"/>
      <c r="B41" s="3499"/>
      <c r="C41" s="3494"/>
      <c r="D41" s="2361">
        <v>4010</v>
      </c>
      <c r="E41" s="2362">
        <f t="shared" si="14"/>
        <v>104314</v>
      </c>
      <c r="F41" s="2362">
        <f>SUM(G41,J41,K41)</f>
        <v>104314</v>
      </c>
      <c r="G41" s="2362">
        <f>SUM(H41:I41)</f>
        <v>104314</v>
      </c>
      <c r="H41" s="2362">
        <v>104314</v>
      </c>
      <c r="I41" s="2362"/>
      <c r="J41" s="2362"/>
      <c r="K41" s="2362"/>
      <c r="L41" s="2363"/>
    </row>
    <row r="42" spans="1:13" s="2373" customFormat="1" ht="12.75">
      <c r="A42" s="3482"/>
      <c r="B42" s="3499"/>
      <c r="C42" s="3494"/>
      <c r="D42" s="2361">
        <v>4110</v>
      </c>
      <c r="E42" s="2362">
        <f t="shared" si="14"/>
        <v>18130</v>
      </c>
      <c r="F42" s="2362">
        <f t="shared" ref="F42:F50" si="17">SUM(G42,J42,K42)</f>
        <v>18130</v>
      </c>
      <c r="G42" s="2362">
        <f t="shared" ref="G42:G50" si="18">SUM(H42:I42)</f>
        <v>18130</v>
      </c>
      <c r="H42" s="2362">
        <v>18130</v>
      </c>
      <c r="I42" s="2362"/>
      <c r="J42" s="2362"/>
      <c r="K42" s="2362"/>
      <c r="L42" s="2363"/>
    </row>
    <row r="43" spans="1:13" s="2373" customFormat="1" ht="12.75">
      <c r="A43" s="3482"/>
      <c r="B43" s="3499"/>
      <c r="C43" s="3494"/>
      <c r="D43" s="2361">
        <v>4120</v>
      </c>
      <c r="E43" s="2362">
        <f t="shared" si="14"/>
        <v>2556</v>
      </c>
      <c r="F43" s="2362">
        <f t="shared" si="17"/>
        <v>2556</v>
      </c>
      <c r="G43" s="2362">
        <f t="shared" si="18"/>
        <v>2556</v>
      </c>
      <c r="H43" s="2362">
        <v>2556</v>
      </c>
      <c r="I43" s="2362"/>
      <c r="J43" s="2362"/>
      <c r="K43" s="2362"/>
      <c r="L43" s="2363"/>
    </row>
    <row r="44" spans="1:13" s="2373" customFormat="1" ht="12.75">
      <c r="A44" s="3482"/>
      <c r="B44" s="3499"/>
      <c r="C44" s="3494"/>
      <c r="D44" s="2361">
        <v>4170</v>
      </c>
      <c r="E44" s="2362">
        <f t="shared" si="14"/>
        <v>3000</v>
      </c>
      <c r="F44" s="2362">
        <f t="shared" si="17"/>
        <v>3000</v>
      </c>
      <c r="G44" s="2362">
        <f t="shared" si="18"/>
        <v>3000</v>
      </c>
      <c r="H44" s="2362">
        <v>3000</v>
      </c>
      <c r="I44" s="2362"/>
      <c r="J44" s="2362"/>
      <c r="K44" s="2362"/>
      <c r="L44" s="2363"/>
    </row>
    <row r="45" spans="1:13" s="2373" customFormat="1" ht="12.75">
      <c r="A45" s="3482"/>
      <c r="B45" s="3499"/>
      <c r="C45" s="3494"/>
      <c r="D45" s="2361">
        <v>4210</v>
      </c>
      <c r="E45" s="2362">
        <f t="shared" si="14"/>
        <v>50000</v>
      </c>
      <c r="F45" s="2362">
        <f t="shared" si="17"/>
        <v>50000</v>
      </c>
      <c r="G45" s="2362">
        <f t="shared" si="18"/>
        <v>50000</v>
      </c>
      <c r="H45" s="2362"/>
      <c r="I45" s="2362">
        <v>50000</v>
      </c>
      <c r="J45" s="2362"/>
      <c r="K45" s="2362"/>
      <c r="L45" s="2363"/>
    </row>
    <row r="46" spans="1:13" s="2373" customFormat="1" ht="12.75">
      <c r="A46" s="3482"/>
      <c r="B46" s="3499"/>
      <c r="C46" s="3494"/>
      <c r="D46" s="2361">
        <v>4220</v>
      </c>
      <c r="E46" s="2362">
        <f t="shared" si="14"/>
        <v>1000</v>
      </c>
      <c r="F46" s="2362">
        <f t="shared" si="17"/>
        <v>1000</v>
      </c>
      <c r="G46" s="2362">
        <f t="shared" si="18"/>
        <v>1000</v>
      </c>
      <c r="H46" s="2362"/>
      <c r="I46" s="2362">
        <v>1000</v>
      </c>
      <c r="J46" s="2362"/>
      <c r="K46" s="2362"/>
      <c r="L46" s="2363"/>
    </row>
    <row r="47" spans="1:13" s="2373" customFormat="1" ht="12.75">
      <c r="A47" s="3482"/>
      <c r="B47" s="3499"/>
      <c r="C47" s="3494"/>
      <c r="D47" s="2361">
        <v>4300</v>
      </c>
      <c r="E47" s="2362">
        <f t="shared" si="14"/>
        <v>12000</v>
      </c>
      <c r="F47" s="2362">
        <f t="shared" si="17"/>
        <v>12000</v>
      </c>
      <c r="G47" s="2362">
        <f t="shared" si="18"/>
        <v>12000</v>
      </c>
      <c r="H47" s="2362"/>
      <c r="I47" s="2362">
        <v>12000</v>
      </c>
      <c r="J47" s="2362"/>
      <c r="K47" s="2362"/>
      <c r="L47" s="2363"/>
    </row>
    <row r="48" spans="1:13" s="2373" customFormat="1" ht="12.75">
      <c r="A48" s="3482"/>
      <c r="B48" s="3499"/>
      <c r="C48" s="3494"/>
      <c r="D48" s="2361">
        <v>4390</v>
      </c>
      <c r="E48" s="2362">
        <f t="shared" si="14"/>
        <v>2000</v>
      </c>
      <c r="F48" s="2362">
        <f t="shared" si="17"/>
        <v>2000</v>
      </c>
      <c r="G48" s="2362">
        <f t="shared" si="18"/>
        <v>2000</v>
      </c>
      <c r="H48" s="2362"/>
      <c r="I48" s="2362">
        <v>2000</v>
      </c>
      <c r="J48" s="2362"/>
      <c r="K48" s="2362"/>
      <c r="L48" s="2363"/>
    </row>
    <row r="49" spans="1:13" s="2373" customFormat="1" ht="12.75">
      <c r="A49" s="3482"/>
      <c r="B49" s="3499"/>
      <c r="C49" s="3494"/>
      <c r="D49" s="2361">
        <v>4410</v>
      </c>
      <c r="E49" s="2362">
        <f t="shared" si="14"/>
        <v>2000</v>
      </c>
      <c r="F49" s="2362">
        <f t="shared" si="17"/>
        <v>2000</v>
      </c>
      <c r="G49" s="2362">
        <f t="shared" si="18"/>
        <v>2000</v>
      </c>
      <c r="H49" s="2362"/>
      <c r="I49" s="2362">
        <v>2000</v>
      </c>
      <c r="J49" s="2362"/>
      <c r="K49" s="2362"/>
      <c r="L49" s="2363"/>
      <c r="M49" s="2372"/>
    </row>
    <row r="50" spans="1:13" s="2373" customFormat="1" ht="12.75">
      <c r="A50" s="3483"/>
      <c r="B50" s="3500"/>
      <c r="C50" s="3501"/>
      <c r="D50" s="2361">
        <v>4700</v>
      </c>
      <c r="E50" s="2362">
        <f t="shared" si="14"/>
        <v>2000</v>
      </c>
      <c r="F50" s="2362">
        <f t="shared" si="17"/>
        <v>2000</v>
      </c>
      <c r="G50" s="2362">
        <f t="shared" si="18"/>
        <v>2000</v>
      </c>
      <c r="H50" s="2362"/>
      <c r="I50" s="2362">
        <v>2000</v>
      </c>
      <c r="J50" s="2362"/>
      <c r="K50" s="2362"/>
      <c r="L50" s="2363"/>
    </row>
    <row r="51" spans="1:13" ht="29.25" customHeight="1">
      <c r="A51" s="3481" t="s">
        <v>781</v>
      </c>
      <c r="B51" s="3504" t="s">
        <v>371</v>
      </c>
      <c r="C51" s="3504"/>
      <c r="D51" s="2370"/>
      <c r="E51" s="2365">
        <f>F51+L51</f>
        <v>5000</v>
      </c>
      <c r="F51" s="2365">
        <f>SUM(G51,J51,K51)</f>
        <v>5000</v>
      </c>
      <c r="G51" s="2365">
        <f>SUM(H51:I51)</f>
        <v>5000</v>
      </c>
      <c r="H51" s="2365"/>
      <c r="I51" s="2365">
        <f>SUM(I52)</f>
        <v>5000</v>
      </c>
      <c r="J51" s="2365"/>
      <c r="K51" s="2365"/>
      <c r="L51" s="2366"/>
    </row>
    <row r="52" spans="1:13" ht="27" customHeight="1">
      <c r="A52" s="3482"/>
      <c r="B52" s="3498" t="s">
        <v>783</v>
      </c>
      <c r="C52" s="3493" t="s">
        <v>372</v>
      </c>
      <c r="D52" s="2358" t="s">
        <v>1035</v>
      </c>
      <c r="E52" s="2359">
        <f>F52+L52</f>
        <v>5000</v>
      </c>
      <c r="F52" s="2359">
        <f t="shared" ref="F52:F54" si="19">SUM(G52,J52,K52)</f>
        <v>5000</v>
      </c>
      <c r="G52" s="2359">
        <f>SUM(H52:I52)</f>
        <v>5000</v>
      </c>
      <c r="H52" s="2359"/>
      <c r="I52" s="2359">
        <f>SUM(I53:I54)</f>
        <v>5000</v>
      </c>
      <c r="J52" s="2359"/>
      <c r="K52" s="2359"/>
      <c r="L52" s="2360"/>
    </row>
    <row r="53" spans="1:13" ht="12.75">
      <c r="A53" s="3482"/>
      <c r="B53" s="3499"/>
      <c r="C53" s="3494"/>
      <c r="D53" s="2361">
        <v>4210</v>
      </c>
      <c r="E53" s="2362">
        <f>SUM(F53,L53)</f>
        <v>2712</v>
      </c>
      <c r="F53" s="2362">
        <f t="shared" si="19"/>
        <v>2712</v>
      </c>
      <c r="G53" s="2362">
        <f>SUM(H53:I53)</f>
        <v>2712</v>
      </c>
      <c r="H53" s="2362"/>
      <c r="I53" s="2362">
        <v>2712</v>
      </c>
      <c r="J53" s="2362"/>
      <c r="K53" s="2362"/>
      <c r="L53" s="2363"/>
      <c r="M53" s="107"/>
    </row>
    <row r="54" spans="1:13" ht="12.75">
      <c r="A54" s="3482"/>
      <c r="B54" s="3499"/>
      <c r="C54" s="3494"/>
      <c r="D54" s="2361">
        <v>4300</v>
      </c>
      <c r="E54" s="2362">
        <f t="shared" ref="E54" si="20">SUM(F54,L54)</f>
        <v>2288</v>
      </c>
      <c r="F54" s="2362">
        <f t="shared" si="19"/>
        <v>2288</v>
      </c>
      <c r="G54" s="2362">
        <f t="shared" ref="G54" si="21">SUM(H54:I54)</f>
        <v>2288</v>
      </c>
      <c r="H54" s="2362"/>
      <c r="I54" s="2362">
        <v>2288</v>
      </c>
      <c r="J54" s="2362"/>
      <c r="K54" s="2362"/>
      <c r="L54" s="2363"/>
      <c r="M54" s="107"/>
    </row>
    <row r="55" spans="1:13" ht="30.75" customHeight="1">
      <c r="A55" s="3481" t="s">
        <v>68</v>
      </c>
      <c r="B55" s="3504" t="s">
        <v>1024</v>
      </c>
      <c r="C55" s="3504"/>
      <c r="D55" s="2370"/>
      <c r="E55" s="2365">
        <f>SUM(E56:E58)</f>
        <v>105000</v>
      </c>
      <c r="F55" s="2365">
        <f>SUM(F56:F58)</f>
        <v>55000</v>
      </c>
      <c r="G55" s="2365">
        <f>SUM(H55:I55)</f>
        <v>55000</v>
      </c>
      <c r="H55" s="2365">
        <f>H57+H58</f>
        <v>27200</v>
      </c>
      <c r="I55" s="2365">
        <f>I57+I58</f>
        <v>27800</v>
      </c>
      <c r="J55" s="2365"/>
      <c r="K55" s="2365"/>
      <c r="L55" s="2366">
        <f>SUM(L56,L57,L58)</f>
        <v>50000</v>
      </c>
    </row>
    <row r="56" spans="1:13" ht="20.25" customHeight="1">
      <c r="A56" s="3482"/>
      <c r="B56" s="2367" t="s">
        <v>879</v>
      </c>
      <c r="C56" s="2358" t="s">
        <v>442</v>
      </c>
      <c r="D56" s="2358">
        <v>6220</v>
      </c>
      <c r="E56" s="2359">
        <f t="shared" ref="E56:E57" si="22">SUM(F56,L56)</f>
        <v>50000</v>
      </c>
      <c r="F56" s="2359"/>
      <c r="G56" s="2359"/>
      <c r="H56" s="2359"/>
      <c r="I56" s="2359"/>
      <c r="J56" s="2359"/>
      <c r="K56" s="2359"/>
      <c r="L56" s="2360">
        <v>50000</v>
      </c>
    </row>
    <row r="57" spans="1:13" ht="84.75" customHeight="1">
      <c r="A57" s="3482"/>
      <c r="B57" s="2367" t="s">
        <v>884</v>
      </c>
      <c r="C57" s="2358" t="s">
        <v>445</v>
      </c>
      <c r="D57" s="2358">
        <v>4130</v>
      </c>
      <c r="E57" s="2359">
        <f t="shared" si="22"/>
        <v>25000</v>
      </c>
      <c r="F57" s="2359">
        <f>SUM(G57,J57,K57)</f>
        <v>25000</v>
      </c>
      <c r="G57" s="2359">
        <f t="shared" si="16"/>
        <v>25000</v>
      </c>
      <c r="H57" s="2359"/>
      <c r="I57" s="2359">
        <v>25000</v>
      </c>
      <c r="J57" s="2359"/>
      <c r="K57" s="2359"/>
      <c r="L57" s="2360"/>
    </row>
    <row r="58" spans="1:13" ht="24" customHeight="1">
      <c r="A58" s="3482"/>
      <c r="B58" s="3498" t="s">
        <v>887</v>
      </c>
      <c r="C58" s="3493" t="s">
        <v>254</v>
      </c>
      <c r="D58" s="2358" t="s">
        <v>1035</v>
      </c>
      <c r="E58" s="2359">
        <f>SUM(F58,L58)</f>
        <v>30000</v>
      </c>
      <c r="F58" s="2359">
        <f>SUM(G58,J58,K58)</f>
        <v>30000</v>
      </c>
      <c r="G58" s="2359">
        <f t="shared" si="16"/>
        <v>30000</v>
      </c>
      <c r="H58" s="2359">
        <f>SUM(H59:H60)</f>
        <v>27200</v>
      </c>
      <c r="I58" s="2359">
        <f>SUM(I59:I60)</f>
        <v>2800</v>
      </c>
      <c r="J58" s="2368"/>
      <c r="K58" s="2368"/>
      <c r="L58" s="2369"/>
    </row>
    <row r="59" spans="1:13" ht="12.75">
      <c r="A59" s="3482"/>
      <c r="B59" s="3499"/>
      <c r="C59" s="3494"/>
      <c r="D59" s="2361">
        <v>4170</v>
      </c>
      <c r="E59" s="2362">
        <f>SUM(F59,L59)</f>
        <v>27200</v>
      </c>
      <c r="F59" s="2362">
        <f>SUM(G59,J59,K59)</f>
        <v>27200</v>
      </c>
      <c r="G59" s="2362">
        <f t="shared" si="16"/>
        <v>27200</v>
      </c>
      <c r="H59" s="2362">
        <f>7200+20000</f>
        <v>27200</v>
      </c>
      <c r="I59" s="2362"/>
      <c r="J59" s="2362"/>
      <c r="K59" s="2362"/>
      <c r="L59" s="2363"/>
    </row>
    <row r="60" spans="1:13" ht="12.75">
      <c r="A60" s="3483"/>
      <c r="B60" s="3500"/>
      <c r="C60" s="3501"/>
      <c r="D60" s="2361">
        <v>4300</v>
      </c>
      <c r="E60" s="2362">
        <f t="shared" ref="E60" si="23">SUM(F60,L60)</f>
        <v>2800</v>
      </c>
      <c r="F60" s="2362">
        <f t="shared" ref="F60" si="24">SUM(G60,J60,K60)</f>
        <v>2800</v>
      </c>
      <c r="G60" s="2362">
        <f t="shared" si="16"/>
        <v>2800</v>
      </c>
      <c r="H60" s="2362"/>
      <c r="I60" s="2362">
        <v>2800</v>
      </c>
      <c r="J60" s="2362"/>
      <c r="K60" s="2362"/>
      <c r="L60" s="2363"/>
    </row>
    <row r="61" spans="1:13" ht="32.25" customHeight="1">
      <c r="A61" s="3481" t="s">
        <v>74</v>
      </c>
      <c r="B61" s="3505" t="s">
        <v>455</v>
      </c>
      <c r="C61" s="3505"/>
      <c r="D61" s="2378"/>
      <c r="E61" s="2356">
        <f>SUM(F61,L61)</f>
        <v>2000</v>
      </c>
      <c r="F61" s="2356">
        <f t="shared" ref="F61:K61" si="25">SUM(F62)</f>
        <v>2000</v>
      </c>
      <c r="G61" s="2356">
        <f>SUM(H61:I61)</f>
        <v>1740</v>
      </c>
      <c r="H61" s="2356">
        <f>SUM(H62)</f>
        <v>1240</v>
      </c>
      <c r="I61" s="2356">
        <f t="shared" si="25"/>
        <v>500</v>
      </c>
      <c r="J61" s="2356"/>
      <c r="K61" s="2356">
        <f t="shared" si="25"/>
        <v>260</v>
      </c>
      <c r="L61" s="2357"/>
    </row>
    <row r="62" spans="1:13" s="2373" customFormat="1" ht="30.75" customHeight="1">
      <c r="A62" s="3482"/>
      <c r="B62" s="3498" t="s">
        <v>914</v>
      </c>
      <c r="C62" s="3506" t="s">
        <v>915</v>
      </c>
      <c r="D62" s="2379" t="s">
        <v>1035</v>
      </c>
      <c r="E62" s="2359">
        <f>SUM(F62,L62)</f>
        <v>2000</v>
      </c>
      <c r="F62" s="2359">
        <f>SUM(G62,J62,K62)</f>
        <v>2000</v>
      </c>
      <c r="G62" s="2359">
        <f>SUM(H62:I62)</f>
        <v>1740</v>
      </c>
      <c r="H62" s="2359">
        <f>SUM(H63:H65)</f>
        <v>1240</v>
      </c>
      <c r="I62" s="2359">
        <f>SUM(I63:I65)</f>
        <v>500</v>
      </c>
      <c r="J62" s="2359"/>
      <c r="K62" s="2359">
        <f t="shared" ref="K62" si="26">SUM(K63:K65)</f>
        <v>260</v>
      </c>
      <c r="L62" s="2360"/>
    </row>
    <row r="63" spans="1:13" s="2373" customFormat="1" ht="12.75">
      <c r="A63" s="3482"/>
      <c r="B63" s="3499"/>
      <c r="C63" s="3507"/>
      <c r="D63" s="2380">
        <v>3030</v>
      </c>
      <c r="E63" s="2362">
        <f>SUM(F63,L63)</f>
        <v>260</v>
      </c>
      <c r="F63" s="2362">
        <f>SUM(G63,J63,K63)</f>
        <v>260</v>
      </c>
      <c r="G63" s="2362"/>
      <c r="H63" s="2362"/>
      <c r="I63" s="2362"/>
      <c r="J63" s="2362"/>
      <c r="K63" s="2362">
        <v>260</v>
      </c>
      <c r="L63" s="2363"/>
    </row>
    <row r="64" spans="1:13" s="2373" customFormat="1" ht="12.75">
      <c r="A64" s="3482"/>
      <c r="B64" s="3499"/>
      <c r="C64" s="3507"/>
      <c r="D64" s="2380">
        <v>4170</v>
      </c>
      <c r="E64" s="2362">
        <f t="shared" ref="E64:E86" si="27">SUM(F64,L64)</f>
        <v>1240</v>
      </c>
      <c r="F64" s="2362">
        <f t="shared" ref="F64:F65" si="28">SUM(G64,J64,K64)</f>
        <v>1240</v>
      </c>
      <c r="G64" s="2362">
        <f t="shared" ref="G64:G65" si="29">SUM(H64:I64)</f>
        <v>1240</v>
      </c>
      <c r="H64" s="2362">
        <v>1240</v>
      </c>
      <c r="I64" s="2362"/>
      <c r="J64" s="2362"/>
      <c r="K64" s="2362"/>
      <c r="L64" s="2363"/>
    </row>
    <row r="65" spans="1:13" s="2373" customFormat="1" ht="12.75">
      <c r="A65" s="3482"/>
      <c r="B65" s="3499"/>
      <c r="C65" s="3507"/>
      <c r="D65" s="2381">
        <v>4210</v>
      </c>
      <c r="E65" s="2382">
        <f t="shared" si="27"/>
        <v>500</v>
      </c>
      <c r="F65" s="2382">
        <f t="shared" si="28"/>
        <v>500</v>
      </c>
      <c r="G65" s="2382">
        <f t="shared" si="29"/>
        <v>500</v>
      </c>
      <c r="H65" s="2382"/>
      <c r="I65" s="2382">
        <v>500</v>
      </c>
      <c r="J65" s="2382"/>
      <c r="K65" s="2382"/>
      <c r="L65" s="2383"/>
      <c r="M65" s="2372"/>
    </row>
    <row r="66" spans="1:13" ht="25.5" customHeight="1">
      <c r="A66" s="3481" t="s">
        <v>110</v>
      </c>
      <c r="B66" s="3509" t="s">
        <v>467</v>
      </c>
      <c r="C66" s="3509"/>
      <c r="D66" s="2364"/>
      <c r="E66" s="2365">
        <f t="shared" si="27"/>
        <v>784000</v>
      </c>
      <c r="F66" s="2365">
        <f>SUM(G66,J66,K66)</f>
        <v>784000</v>
      </c>
      <c r="G66" s="2365">
        <f>SUM(H66:I66)</f>
        <v>781140</v>
      </c>
      <c r="H66" s="2365">
        <f>SUM(H67)</f>
        <v>642619</v>
      </c>
      <c r="I66" s="2365">
        <f>SUM(I67)</f>
        <v>138521</v>
      </c>
      <c r="J66" s="2365"/>
      <c r="K66" s="2365">
        <f>SUM(K67)</f>
        <v>2860</v>
      </c>
      <c r="L66" s="2366"/>
    </row>
    <row r="67" spans="1:13" ht="31.5" customHeight="1">
      <c r="A67" s="3482"/>
      <c r="B67" s="3498" t="s">
        <v>928</v>
      </c>
      <c r="C67" s="3493" t="s">
        <v>1037</v>
      </c>
      <c r="D67" s="2358" t="s">
        <v>1035</v>
      </c>
      <c r="E67" s="2359">
        <f t="shared" si="27"/>
        <v>784000</v>
      </c>
      <c r="F67" s="2359">
        <f>SUM(G67,J67,K67)</f>
        <v>784000</v>
      </c>
      <c r="G67" s="2359">
        <f>SUM(H67:I67)</f>
        <v>781140</v>
      </c>
      <c r="H67" s="2359">
        <f>SUM(H68:H86)</f>
        <v>642619</v>
      </c>
      <c r="I67" s="2359">
        <f>SUM(I68:I86)</f>
        <v>138521</v>
      </c>
      <c r="J67" s="2359"/>
      <c r="K67" s="2359">
        <f>SUM(K68:K86)</f>
        <v>2860</v>
      </c>
      <c r="L67" s="2360"/>
      <c r="M67" s="107"/>
    </row>
    <row r="68" spans="1:13" ht="16.5" customHeight="1">
      <c r="A68" s="3482"/>
      <c r="B68" s="3499"/>
      <c r="C68" s="3494"/>
      <c r="D68" s="2361">
        <v>3020</v>
      </c>
      <c r="E68" s="2362">
        <f t="shared" si="27"/>
        <v>2860</v>
      </c>
      <c r="F68" s="2362">
        <f>SUM(G68,J68,K68)</f>
        <v>2860</v>
      </c>
      <c r="G68" s="2362"/>
      <c r="H68" s="2362"/>
      <c r="I68" s="2362"/>
      <c r="J68" s="2362"/>
      <c r="K68" s="2362">
        <v>2860</v>
      </c>
      <c r="L68" s="2363"/>
      <c r="M68" s="107"/>
    </row>
    <row r="69" spans="1:13" ht="15" customHeight="1">
      <c r="A69" s="3482"/>
      <c r="B69" s="3499"/>
      <c r="C69" s="3494"/>
      <c r="D69" s="2361">
        <v>4010</v>
      </c>
      <c r="E69" s="2362">
        <f t="shared" si="27"/>
        <v>463675</v>
      </c>
      <c r="F69" s="2362">
        <f>SUM(G69,J69,K69)</f>
        <v>463675</v>
      </c>
      <c r="G69" s="2362">
        <f>SUM(H69:I69)</f>
        <v>463675</v>
      </c>
      <c r="H69" s="2362">
        <v>463675</v>
      </c>
      <c r="I69" s="2362"/>
      <c r="J69" s="2362"/>
      <c r="K69" s="2362"/>
      <c r="L69" s="2363"/>
    </row>
    <row r="70" spans="1:13" ht="15" customHeight="1">
      <c r="A70" s="3482"/>
      <c r="B70" s="3499"/>
      <c r="C70" s="3494"/>
      <c r="D70" s="2361">
        <v>4040</v>
      </c>
      <c r="E70" s="2362">
        <f t="shared" si="27"/>
        <v>75655</v>
      </c>
      <c r="F70" s="2362">
        <f t="shared" ref="F70:F86" si="30">SUM(G70,J70,K70)</f>
        <v>75655</v>
      </c>
      <c r="G70" s="2362">
        <f t="shared" ref="G70:G86" si="31">SUM(H70:I70)</f>
        <v>75655</v>
      </c>
      <c r="H70" s="2362">
        <v>75655</v>
      </c>
      <c r="I70" s="2362"/>
      <c r="J70" s="2362"/>
      <c r="K70" s="2362"/>
      <c r="L70" s="2363"/>
    </row>
    <row r="71" spans="1:13" ht="15" customHeight="1">
      <c r="A71" s="3482"/>
      <c r="B71" s="3499"/>
      <c r="C71" s="3494"/>
      <c r="D71" s="2361">
        <v>4110</v>
      </c>
      <c r="E71" s="2362">
        <f t="shared" si="27"/>
        <v>90578</v>
      </c>
      <c r="F71" s="2362">
        <f t="shared" si="30"/>
        <v>90578</v>
      </c>
      <c r="G71" s="2362">
        <f t="shared" si="31"/>
        <v>90578</v>
      </c>
      <c r="H71" s="2362">
        <v>90578</v>
      </c>
      <c r="I71" s="2362"/>
      <c r="J71" s="2362"/>
      <c r="K71" s="2362"/>
      <c r="L71" s="2363"/>
    </row>
    <row r="72" spans="1:13" ht="15" customHeight="1">
      <c r="A72" s="3482"/>
      <c r="B72" s="3499"/>
      <c r="C72" s="3494"/>
      <c r="D72" s="2361">
        <v>4120</v>
      </c>
      <c r="E72" s="2362">
        <f t="shared" si="27"/>
        <v>12711</v>
      </c>
      <c r="F72" s="2362">
        <f t="shared" si="30"/>
        <v>12711</v>
      </c>
      <c r="G72" s="2362">
        <f t="shared" si="31"/>
        <v>12711</v>
      </c>
      <c r="H72" s="2362">
        <v>12711</v>
      </c>
      <c r="I72" s="2362"/>
      <c r="J72" s="2362"/>
      <c r="K72" s="2362"/>
      <c r="L72" s="2363"/>
    </row>
    <row r="73" spans="1:13" ht="15" customHeight="1">
      <c r="A73" s="3482"/>
      <c r="B73" s="3499"/>
      <c r="C73" s="3494"/>
      <c r="D73" s="2361">
        <v>4140</v>
      </c>
      <c r="E73" s="2362">
        <f t="shared" si="27"/>
        <v>3900</v>
      </c>
      <c r="F73" s="2362">
        <f t="shared" si="30"/>
        <v>3900</v>
      </c>
      <c r="G73" s="2362">
        <f t="shared" si="31"/>
        <v>3900</v>
      </c>
      <c r="H73" s="2362"/>
      <c r="I73" s="2362">
        <v>3900</v>
      </c>
      <c r="J73" s="2362"/>
      <c r="K73" s="2362"/>
      <c r="L73" s="2363"/>
    </row>
    <row r="74" spans="1:13" ht="15" customHeight="1">
      <c r="A74" s="3482"/>
      <c r="B74" s="3499"/>
      <c r="C74" s="3494"/>
      <c r="D74" s="2361">
        <v>4210</v>
      </c>
      <c r="E74" s="2362">
        <f t="shared" si="27"/>
        <v>23899</v>
      </c>
      <c r="F74" s="2362">
        <f t="shared" si="30"/>
        <v>23899</v>
      </c>
      <c r="G74" s="2362">
        <f t="shared" si="31"/>
        <v>23899</v>
      </c>
      <c r="H74" s="2362"/>
      <c r="I74" s="2362">
        <v>23899</v>
      </c>
      <c r="J74" s="2362"/>
      <c r="K74" s="2362"/>
      <c r="L74" s="2363"/>
    </row>
    <row r="75" spans="1:13" ht="15" customHeight="1">
      <c r="A75" s="3482"/>
      <c r="B75" s="3499"/>
      <c r="C75" s="3494"/>
      <c r="D75" s="2361">
        <v>4220</v>
      </c>
      <c r="E75" s="2362">
        <f t="shared" si="27"/>
        <v>5500</v>
      </c>
      <c r="F75" s="2362">
        <f t="shared" si="30"/>
        <v>5500</v>
      </c>
      <c r="G75" s="2362">
        <f t="shared" si="31"/>
        <v>5500</v>
      </c>
      <c r="H75" s="2362"/>
      <c r="I75" s="2362">
        <v>5500</v>
      </c>
      <c r="J75" s="2362"/>
      <c r="K75" s="2362"/>
      <c r="L75" s="2363"/>
    </row>
    <row r="76" spans="1:13" ht="15" customHeight="1">
      <c r="A76" s="3482"/>
      <c r="B76" s="3499"/>
      <c r="C76" s="3494"/>
      <c r="D76" s="2361">
        <v>4240</v>
      </c>
      <c r="E76" s="2362">
        <f t="shared" si="27"/>
        <v>1500</v>
      </c>
      <c r="F76" s="2362">
        <f t="shared" si="30"/>
        <v>1500</v>
      </c>
      <c r="G76" s="2362">
        <f t="shared" si="31"/>
        <v>1500</v>
      </c>
      <c r="H76" s="2362"/>
      <c r="I76" s="2362">
        <v>1500</v>
      </c>
      <c r="J76" s="2362"/>
      <c r="K76" s="2362"/>
      <c r="L76" s="2363"/>
    </row>
    <row r="77" spans="1:13" ht="15" customHeight="1">
      <c r="A77" s="3482"/>
      <c r="B77" s="3499"/>
      <c r="C77" s="3494"/>
      <c r="D77" s="2361">
        <v>4260</v>
      </c>
      <c r="E77" s="2362">
        <f t="shared" si="27"/>
        <v>11890</v>
      </c>
      <c r="F77" s="2362">
        <f t="shared" si="30"/>
        <v>11890</v>
      </c>
      <c r="G77" s="2362">
        <f t="shared" si="31"/>
        <v>11890</v>
      </c>
      <c r="H77" s="2362"/>
      <c r="I77" s="2362">
        <v>11890</v>
      </c>
      <c r="J77" s="2362"/>
      <c r="K77" s="2362"/>
      <c r="L77" s="2363"/>
    </row>
    <row r="78" spans="1:13" ht="15" customHeight="1">
      <c r="A78" s="3482"/>
      <c r="B78" s="3499"/>
      <c r="C78" s="3494"/>
      <c r="D78" s="2361">
        <v>4270</v>
      </c>
      <c r="E78" s="2362">
        <f t="shared" si="27"/>
        <v>5965</v>
      </c>
      <c r="F78" s="2362">
        <f t="shared" si="30"/>
        <v>5965</v>
      </c>
      <c r="G78" s="2362">
        <f t="shared" si="31"/>
        <v>5965</v>
      </c>
      <c r="H78" s="2362"/>
      <c r="I78" s="2362">
        <v>5965</v>
      </c>
      <c r="J78" s="2362"/>
      <c r="K78" s="2362"/>
      <c r="L78" s="2363"/>
    </row>
    <row r="79" spans="1:13" ht="15" customHeight="1">
      <c r="A79" s="3482"/>
      <c r="B79" s="3499"/>
      <c r="C79" s="3494"/>
      <c r="D79" s="2361">
        <v>4280</v>
      </c>
      <c r="E79" s="2362">
        <f t="shared" si="27"/>
        <v>500</v>
      </c>
      <c r="F79" s="2362">
        <f t="shared" si="30"/>
        <v>500</v>
      </c>
      <c r="G79" s="2362">
        <f t="shared" si="31"/>
        <v>500</v>
      </c>
      <c r="H79" s="2362"/>
      <c r="I79" s="2362">
        <v>500</v>
      </c>
      <c r="J79" s="2362"/>
      <c r="K79" s="2362"/>
      <c r="L79" s="2363"/>
    </row>
    <row r="80" spans="1:13" ht="15" customHeight="1">
      <c r="A80" s="3482"/>
      <c r="B80" s="3499"/>
      <c r="C80" s="3494"/>
      <c r="D80" s="2361">
        <v>4300</v>
      </c>
      <c r="E80" s="2362">
        <f t="shared" si="27"/>
        <v>45804</v>
      </c>
      <c r="F80" s="2362">
        <f t="shared" si="30"/>
        <v>45804</v>
      </c>
      <c r="G80" s="2362">
        <f t="shared" si="31"/>
        <v>45804</v>
      </c>
      <c r="H80" s="2362"/>
      <c r="I80" s="2362">
        <v>45804</v>
      </c>
      <c r="J80" s="2362"/>
      <c r="K80" s="2362"/>
      <c r="L80" s="2363"/>
    </row>
    <row r="81" spans="1:12" ht="15" customHeight="1">
      <c r="A81" s="3482"/>
      <c r="B81" s="3499"/>
      <c r="C81" s="3494"/>
      <c r="D81" s="2361">
        <v>4360</v>
      </c>
      <c r="E81" s="2362">
        <f t="shared" si="27"/>
        <v>3850</v>
      </c>
      <c r="F81" s="2362">
        <f t="shared" si="30"/>
        <v>3850</v>
      </c>
      <c r="G81" s="2362">
        <f t="shared" si="31"/>
        <v>3850</v>
      </c>
      <c r="H81" s="2362"/>
      <c r="I81" s="2362">
        <v>3850</v>
      </c>
      <c r="J81" s="2362"/>
      <c r="K81" s="2362"/>
      <c r="L81" s="2363"/>
    </row>
    <row r="82" spans="1:12" ht="15" customHeight="1">
      <c r="A82" s="3482"/>
      <c r="B82" s="3499"/>
      <c r="C82" s="3494"/>
      <c r="D82" s="2361">
        <v>4410</v>
      </c>
      <c r="E82" s="2362">
        <f t="shared" si="27"/>
        <v>4500</v>
      </c>
      <c r="F82" s="2362">
        <f t="shared" si="30"/>
        <v>4500</v>
      </c>
      <c r="G82" s="2362">
        <f t="shared" si="31"/>
        <v>4500</v>
      </c>
      <c r="H82" s="2362"/>
      <c r="I82" s="2362">
        <v>4500</v>
      </c>
      <c r="J82" s="2362"/>
      <c r="K82" s="2362"/>
      <c r="L82" s="2363"/>
    </row>
    <row r="83" spans="1:12" ht="15" customHeight="1">
      <c r="A83" s="3482"/>
      <c r="B83" s="3499"/>
      <c r="C83" s="3494"/>
      <c r="D83" s="2361">
        <v>4440</v>
      </c>
      <c r="E83" s="2362">
        <f t="shared" si="27"/>
        <v>21986</v>
      </c>
      <c r="F83" s="2362">
        <f t="shared" si="30"/>
        <v>21986</v>
      </c>
      <c r="G83" s="2362">
        <f t="shared" si="31"/>
        <v>21986</v>
      </c>
      <c r="H83" s="2362"/>
      <c r="I83" s="2362">
        <v>21986</v>
      </c>
      <c r="J83" s="2362"/>
      <c r="K83" s="2362"/>
      <c r="L83" s="2363"/>
    </row>
    <row r="84" spans="1:12" ht="15" customHeight="1">
      <c r="A84" s="3482"/>
      <c r="B84" s="3499"/>
      <c r="C84" s="3494"/>
      <c r="D84" s="2361">
        <v>4480</v>
      </c>
      <c r="E84" s="2362">
        <f t="shared" si="27"/>
        <v>1719</v>
      </c>
      <c r="F84" s="2362">
        <f t="shared" si="30"/>
        <v>1719</v>
      </c>
      <c r="G84" s="2362">
        <f t="shared" si="31"/>
        <v>1719</v>
      </c>
      <c r="H84" s="2362"/>
      <c r="I84" s="2362">
        <v>1719</v>
      </c>
      <c r="J84" s="2362"/>
      <c r="K84" s="2362"/>
      <c r="L84" s="2363"/>
    </row>
    <row r="85" spans="1:12" ht="15" customHeight="1">
      <c r="A85" s="3482"/>
      <c r="B85" s="3499"/>
      <c r="C85" s="3494"/>
      <c r="D85" s="2361">
        <v>4520</v>
      </c>
      <c r="E85" s="2362">
        <f t="shared" si="27"/>
        <v>4508</v>
      </c>
      <c r="F85" s="2362">
        <f t="shared" si="30"/>
        <v>4508</v>
      </c>
      <c r="G85" s="2362">
        <f t="shared" si="31"/>
        <v>4508</v>
      </c>
      <c r="H85" s="2362"/>
      <c r="I85" s="2362">
        <v>4508</v>
      </c>
      <c r="J85" s="2362"/>
      <c r="K85" s="2362"/>
      <c r="L85" s="2363"/>
    </row>
    <row r="86" spans="1:12" ht="15" customHeight="1" thickBot="1">
      <c r="A86" s="3508"/>
      <c r="B86" s="3510"/>
      <c r="C86" s="3495"/>
      <c r="D86" s="2384">
        <v>4700</v>
      </c>
      <c r="E86" s="2385">
        <f t="shared" si="27"/>
        <v>3000</v>
      </c>
      <c r="F86" s="2385">
        <f t="shared" si="30"/>
        <v>3000</v>
      </c>
      <c r="G86" s="2385">
        <f t="shared" si="31"/>
        <v>3000</v>
      </c>
      <c r="H86" s="2385"/>
      <c r="I86" s="2385">
        <v>3000</v>
      </c>
      <c r="J86" s="2385"/>
      <c r="K86" s="2385"/>
      <c r="L86" s="2386"/>
    </row>
    <row r="87" spans="1:12" ht="35.1" customHeight="1" thickBot="1">
      <c r="A87" s="3496" t="s">
        <v>48</v>
      </c>
      <c r="B87" s="3497"/>
      <c r="C87" s="3497"/>
      <c r="D87" s="2387"/>
      <c r="E87" s="2388">
        <f t="shared" ref="E87:L87" si="32">SUM(E61,E66,E55,E28,E23,E11,E6,E18,E51)</f>
        <v>57109000</v>
      </c>
      <c r="F87" s="2388">
        <f t="shared" si="32"/>
        <v>57059000</v>
      </c>
      <c r="G87" s="2388">
        <f t="shared" si="32"/>
        <v>2051880</v>
      </c>
      <c r="H87" s="2388">
        <f t="shared" si="32"/>
        <v>1721059</v>
      </c>
      <c r="I87" s="2388">
        <f t="shared" si="32"/>
        <v>330821</v>
      </c>
      <c r="J87" s="2388">
        <f t="shared" si="32"/>
        <v>55000000</v>
      </c>
      <c r="K87" s="2388">
        <f t="shared" si="32"/>
        <v>7120</v>
      </c>
      <c r="L87" s="2350">
        <f t="shared" si="32"/>
        <v>50000</v>
      </c>
    </row>
    <row r="88" spans="1:12" ht="12.75">
      <c r="A88" s="2389"/>
      <c r="B88" s="2390"/>
      <c r="E88" s="107"/>
      <c r="F88" s="107"/>
      <c r="G88" s="107"/>
      <c r="H88" s="107"/>
      <c r="I88" s="107"/>
      <c r="J88" s="107"/>
      <c r="K88" s="107"/>
      <c r="L88" s="107"/>
    </row>
    <row r="89" spans="1:12" ht="12.75">
      <c r="A89" s="2389"/>
      <c r="B89" s="2390"/>
      <c r="E89" s="107"/>
      <c r="F89" s="107"/>
      <c r="G89" s="107"/>
      <c r="H89" s="107"/>
      <c r="I89" s="107"/>
      <c r="J89" s="107"/>
      <c r="K89" s="107"/>
      <c r="L89" s="107"/>
    </row>
    <row r="90" spans="1:12" ht="12.75">
      <c r="A90" s="2389"/>
      <c r="B90" s="2390"/>
      <c r="E90" s="107"/>
      <c r="F90" s="107"/>
      <c r="G90" s="107"/>
      <c r="H90" s="107"/>
      <c r="I90" s="107"/>
      <c r="J90" s="107"/>
      <c r="K90" s="107"/>
      <c r="L90" s="107"/>
    </row>
    <row r="91" spans="1:12" ht="12.75">
      <c r="A91" s="2389"/>
      <c r="B91" s="2390"/>
      <c r="E91" s="107"/>
      <c r="F91" s="107"/>
      <c r="G91" s="107"/>
      <c r="H91" s="107"/>
      <c r="I91" s="107"/>
      <c r="J91" s="107"/>
      <c r="K91" s="107"/>
      <c r="L91" s="107"/>
    </row>
    <row r="92" spans="1:12" ht="12.75">
      <c r="A92" s="2389"/>
      <c r="B92" s="2390"/>
      <c r="E92" s="107"/>
      <c r="F92" s="107"/>
      <c r="G92" s="107"/>
      <c r="H92" s="107"/>
      <c r="I92" s="107"/>
      <c r="J92" s="107"/>
      <c r="K92" s="107"/>
      <c r="L92" s="107"/>
    </row>
    <row r="93" spans="1:12" ht="12.75">
      <c r="A93" s="3502"/>
      <c r="B93" s="3503"/>
      <c r="C93" s="3503"/>
      <c r="D93" s="3503"/>
      <c r="E93" s="3503"/>
      <c r="F93" s="3503"/>
      <c r="G93" s="3503"/>
      <c r="H93" s="3503"/>
      <c r="I93" s="3503"/>
      <c r="J93" s="3503"/>
      <c r="K93" s="3503"/>
      <c r="L93" s="3503"/>
    </row>
    <row r="94" spans="1:12" ht="12.75">
      <c r="A94" s="2389"/>
      <c r="B94" s="2390"/>
      <c r="F94" s="107"/>
      <c r="G94" s="107"/>
      <c r="H94" s="107"/>
      <c r="I94" s="107"/>
      <c r="J94" s="107"/>
      <c r="K94" s="107"/>
      <c r="L94" s="107"/>
    </row>
    <row r="95" spans="1:12" ht="12.75">
      <c r="A95" s="2389"/>
      <c r="B95" s="2390"/>
      <c r="E95" s="107"/>
      <c r="F95" s="107"/>
      <c r="G95" s="107"/>
      <c r="H95" s="107"/>
      <c r="I95" s="107"/>
      <c r="J95" s="107"/>
      <c r="K95" s="107"/>
      <c r="L95" s="107"/>
    </row>
    <row r="96" spans="1:12" ht="12.75">
      <c r="A96" s="2389"/>
      <c r="B96" s="2390"/>
      <c r="F96" s="107"/>
      <c r="G96" s="107"/>
      <c r="H96" s="107"/>
      <c r="I96" s="107"/>
      <c r="J96" s="107"/>
      <c r="K96" s="107"/>
      <c r="L96" s="107"/>
    </row>
    <row r="97" spans="1:12" ht="12.75">
      <c r="A97" s="2389"/>
      <c r="B97" s="2390"/>
      <c r="F97" s="107"/>
      <c r="G97" s="107"/>
      <c r="H97" s="107"/>
      <c r="I97" s="107"/>
      <c r="J97" s="107"/>
      <c r="K97" s="107"/>
      <c r="L97" s="107"/>
    </row>
    <row r="98" spans="1:12" ht="12.75">
      <c r="A98" s="2389"/>
      <c r="B98" s="2390"/>
      <c r="F98" s="107"/>
      <c r="G98" s="107"/>
      <c r="H98" s="107"/>
      <c r="I98" s="107"/>
      <c r="J98" s="107"/>
      <c r="K98" s="107"/>
      <c r="L98" s="107"/>
    </row>
    <row r="99" spans="1:12" ht="12.75">
      <c r="A99" s="2389"/>
      <c r="B99" s="2390"/>
      <c r="F99" s="107"/>
      <c r="G99" s="107"/>
      <c r="H99" s="107"/>
      <c r="I99" s="107"/>
      <c r="J99" s="107"/>
      <c r="K99" s="107"/>
      <c r="L99" s="107"/>
    </row>
    <row r="100" spans="1:12" ht="12.75">
      <c r="A100" s="2389"/>
      <c r="B100" s="2390"/>
      <c r="F100" s="107"/>
      <c r="G100" s="107"/>
      <c r="H100" s="107"/>
      <c r="I100" s="107"/>
      <c r="J100" s="107"/>
      <c r="K100" s="107"/>
      <c r="L100" s="107"/>
    </row>
    <row r="101" spans="1:12" ht="12.75">
      <c r="A101" s="2391"/>
      <c r="B101" s="2390"/>
      <c r="F101" s="107"/>
      <c r="G101" s="107"/>
      <c r="H101" s="107"/>
      <c r="I101" s="107"/>
      <c r="J101" s="107"/>
      <c r="K101" s="107"/>
      <c r="L101" s="107"/>
    </row>
    <row r="102" spans="1:12" ht="12.75">
      <c r="A102" s="2391"/>
      <c r="B102" s="2390"/>
      <c r="F102" s="107"/>
      <c r="G102" s="107"/>
      <c r="H102" s="107"/>
      <c r="I102" s="107"/>
      <c r="J102" s="107"/>
      <c r="K102" s="107"/>
      <c r="L102" s="107"/>
    </row>
    <row r="103" spans="1:12" ht="12.75">
      <c r="A103" s="2391"/>
      <c r="B103" s="2390"/>
      <c r="F103" s="107"/>
      <c r="G103" s="107"/>
      <c r="H103" s="107"/>
      <c r="I103" s="107"/>
      <c r="J103" s="107"/>
      <c r="K103" s="107"/>
      <c r="L103" s="107"/>
    </row>
    <row r="104" spans="1:12" ht="12.75">
      <c r="A104" s="2391"/>
      <c r="B104" s="2390"/>
      <c r="F104" s="107"/>
      <c r="G104" s="107"/>
      <c r="H104" s="107"/>
      <c r="I104" s="107"/>
      <c r="J104" s="107"/>
      <c r="K104" s="107"/>
      <c r="L104" s="107"/>
    </row>
    <row r="105" spans="1:12" ht="12.75">
      <c r="A105" s="2391"/>
      <c r="B105" s="2390"/>
      <c r="F105" s="107"/>
      <c r="G105" s="107"/>
      <c r="H105" s="107"/>
      <c r="I105" s="107"/>
      <c r="J105" s="107"/>
      <c r="K105" s="107"/>
      <c r="L105" s="107"/>
    </row>
    <row r="106" spans="1:12" ht="12.75">
      <c r="A106" s="2391"/>
      <c r="B106" s="2390"/>
      <c r="F106" s="107"/>
      <c r="G106" s="107"/>
      <c r="H106" s="107"/>
      <c r="I106" s="107"/>
      <c r="J106" s="107"/>
      <c r="K106" s="107"/>
      <c r="L106" s="107"/>
    </row>
    <row r="107" spans="1:12" ht="12.75">
      <c r="A107" s="2391"/>
      <c r="B107" s="2390"/>
      <c r="F107" s="107"/>
      <c r="G107" s="107"/>
      <c r="H107" s="107"/>
      <c r="I107" s="107"/>
      <c r="J107" s="107"/>
      <c r="K107" s="107"/>
      <c r="L107" s="107"/>
    </row>
    <row r="108" spans="1:12" ht="12.75">
      <c r="A108" s="2391"/>
      <c r="B108" s="2390"/>
      <c r="F108" s="107"/>
      <c r="G108" s="107"/>
      <c r="H108" s="107"/>
      <c r="I108" s="107"/>
      <c r="J108" s="107"/>
      <c r="K108" s="107"/>
      <c r="L108" s="107"/>
    </row>
    <row r="109" spans="1:12" ht="12.75">
      <c r="A109" s="2391"/>
      <c r="B109" s="2390"/>
      <c r="F109" s="107"/>
      <c r="G109" s="107"/>
      <c r="H109" s="107"/>
      <c r="I109" s="107"/>
      <c r="J109" s="107"/>
      <c r="K109" s="107"/>
      <c r="L109" s="107"/>
    </row>
    <row r="110" spans="1:12" ht="12.75">
      <c r="A110" s="2391"/>
      <c r="B110" s="2390"/>
      <c r="F110" s="107"/>
      <c r="G110" s="107"/>
      <c r="H110" s="107"/>
      <c r="I110" s="107"/>
      <c r="J110" s="107"/>
      <c r="K110" s="107"/>
      <c r="L110" s="107"/>
    </row>
    <row r="111" spans="1:12" ht="12.75">
      <c r="A111" s="2391"/>
      <c r="B111" s="2390"/>
      <c r="F111" s="107"/>
      <c r="G111" s="107"/>
      <c r="H111" s="107"/>
      <c r="I111" s="107"/>
      <c r="J111" s="107"/>
      <c r="K111" s="107"/>
      <c r="L111" s="107"/>
    </row>
    <row r="112" spans="1:12" ht="12.75">
      <c r="A112" s="2391"/>
      <c r="B112" s="2390"/>
      <c r="F112" s="107"/>
      <c r="G112" s="107"/>
      <c r="H112" s="107"/>
      <c r="I112" s="107"/>
      <c r="J112" s="107"/>
      <c r="K112" s="107"/>
      <c r="L112" s="107"/>
    </row>
    <row r="113" spans="1:13" ht="12.75">
      <c r="A113" s="2391"/>
      <c r="B113" s="2390"/>
      <c r="F113" s="107"/>
      <c r="G113" s="107"/>
      <c r="H113" s="107"/>
      <c r="I113" s="107"/>
      <c r="J113" s="107"/>
      <c r="K113" s="107"/>
      <c r="L113" s="107"/>
    </row>
    <row r="114" spans="1:13" ht="12.75">
      <c r="A114" s="2391"/>
      <c r="B114" s="2390"/>
      <c r="F114" s="107"/>
      <c r="G114" s="107"/>
      <c r="H114" s="107"/>
      <c r="I114" s="107"/>
      <c r="J114" s="107"/>
      <c r="K114" s="107"/>
      <c r="L114" s="107"/>
    </row>
    <row r="115" spans="1:13" ht="12.75">
      <c r="A115" s="2391"/>
      <c r="B115" s="2390"/>
      <c r="F115" s="107"/>
      <c r="G115" s="107"/>
      <c r="H115" s="107"/>
      <c r="I115" s="107"/>
      <c r="J115" s="107"/>
      <c r="K115" s="107"/>
      <c r="L115" s="107"/>
    </row>
    <row r="116" spans="1:13" ht="12.75">
      <c r="A116" s="2391"/>
      <c r="B116" s="2390"/>
      <c r="F116" s="107"/>
      <c r="G116" s="107"/>
      <c r="H116" s="107"/>
      <c r="I116" s="107"/>
      <c r="J116" s="107"/>
      <c r="K116" s="107"/>
      <c r="L116" s="107"/>
    </row>
    <row r="117" spans="1:13" ht="12.75">
      <c r="A117" s="2391"/>
    </row>
    <row r="118" spans="1:13" ht="12.75">
      <c r="A118" s="2391"/>
    </row>
    <row r="119" spans="1:13" ht="12.75">
      <c r="A119" s="2391"/>
    </row>
    <row r="120" spans="1:13" ht="12.75">
      <c r="A120" s="2391"/>
    </row>
    <row r="121" spans="1:13" ht="12.75">
      <c r="A121" s="2391"/>
    </row>
    <row r="122" spans="1:13" s="2392" customFormat="1" ht="12.75">
      <c r="A122" s="2391"/>
      <c r="C122" s="2221"/>
      <c r="D122" s="2221"/>
      <c r="E122" s="2221"/>
      <c r="F122" s="2221"/>
      <c r="G122" s="2221"/>
      <c r="H122" s="2221"/>
      <c r="I122" s="2221"/>
      <c r="J122" s="2221"/>
      <c r="K122" s="2221"/>
      <c r="L122" s="2221"/>
      <c r="M122" s="2221"/>
    </row>
    <row r="123" spans="1:13" s="2392" customFormat="1" ht="12.75">
      <c r="A123" s="2391"/>
      <c r="C123" s="2221"/>
      <c r="D123" s="2221"/>
      <c r="E123" s="2221"/>
      <c r="F123" s="2221"/>
      <c r="G123" s="2221"/>
      <c r="H123" s="2221"/>
      <c r="I123" s="2221"/>
      <c r="J123" s="2221"/>
      <c r="K123" s="2221"/>
      <c r="L123" s="2221"/>
      <c r="M123" s="2221"/>
    </row>
    <row r="124" spans="1:13" s="2392" customFormat="1" ht="12.75">
      <c r="A124" s="2391"/>
      <c r="C124" s="2221"/>
      <c r="D124" s="2221"/>
      <c r="E124" s="2221"/>
      <c r="F124" s="2221"/>
      <c r="G124" s="2221"/>
      <c r="H124" s="2221"/>
      <c r="I124" s="2221"/>
      <c r="J124" s="2221"/>
      <c r="K124" s="2221"/>
      <c r="L124" s="2221"/>
      <c r="M124" s="2221"/>
    </row>
    <row r="125" spans="1:13" s="2392" customFormat="1" ht="12.75">
      <c r="A125" s="2391"/>
      <c r="C125" s="2221"/>
      <c r="D125" s="2221"/>
      <c r="E125" s="2221"/>
      <c r="F125" s="2221"/>
      <c r="G125" s="2221"/>
      <c r="H125" s="2221"/>
      <c r="I125" s="2221"/>
      <c r="J125" s="2221"/>
      <c r="K125" s="2221"/>
      <c r="L125" s="2221"/>
      <c r="M125" s="2221"/>
    </row>
    <row r="126" spans="1:13" s="2392" customFormat="1" ht="12.75">
      <c r="A126" s="2391"/>
      <c r="C126" s="2221"/>
      <c r="D126" s="2221"/>
      <c r="E126" s="2221"/>
      <c r="F126" s="2221"/>
      <c r="G126" s="2221"/>
      <c r="H126" s="2221"/>
      <c r="I126" s="2221"/>
      <c r="J126" s="2221"/>
      <c r="K126" s="2221"/>
      <c r="L126" s="2221"/>
      <c r="M126" s="2221"/>
    </row>
    <row r="127" spans="1:13" s="2392" customFormat="1" ht="12.75">
      <c r="A127" s="2391"/>
      <c r="C127" s="2221"/>
      <c r="D127" s="2221"/>
      <c r="E127" s="2221"/>
      <c r="F127" s="2221"/>
      <c r="G127" s="2221"/>
      <c r="H127" s="2221"/>
      <c r="I127" s="2221"/>
      <c r="J127" s="2221"/>
      <c r="K127" s="2221"/>
      <c r="L127" s="2221"/>
      <c r="M127" s="2221"/>
    </row>
    <row r="128" spans="1:13" s="2392" customFormat="1" ht="12.75">
      <c r="A128" s="2391"/>
      <c r="C128" s="2221"/>
      <c r="D128" s="2221"/>
      <c r="E128" s="2221"/>
      <c r="F128" s="2221"/>
      <c r="G128" s="2221"/>
      <c r="H128" s="2221"/>
      <c r="I128" s="2221"/>
      <c r="J128" s="2221"/>
      <c r="K128" s="2221"/>
      <c r="L128" s="2221"/>
      <c r="M128" s="2221"/>
    </row>
    <row r="129" spans="1:13" s="2392" customFormat="1" ht="12.75">
      <c r="A129" s="2391"/>
      <c r="C129" s="2221"/>
      <c r="D129" s="2221"/>
      <c r="E129" s="2221"/>
      <c r="F129" s="2221"/>
      <c r="G129" s="2221"/>
      <c r="H129" s="2221"/>
      <c r="I129" s="2221"/>
      <c r="J129" s="2221"/>
      <c r="K129" s="2221"/>
      <c r="L129" s="2221"/>
      <c r="M129" s="2221"/>
    </row>
    <row r="130" spans="1:13" s="2392" customFormat="1" ht="12.75">
      <c r="A130" s="2391"/>
      <c r="C130" s="2221"/>
      <c r="D130" s="2221"/>
      <c r="E130" s="2221"/>
      <c r="F130" s="2221"/>
      <c r="G130" s="2221"/>
      <c r="H130" s="2221"/>
      <c r="I130" s="2221"/>
      <c r="J130" s="2221"/>
      <c r="K130" s="2221"/>
      <c r="L130" s="2221"/>
      <c r="M130" s="2221"/>
    </row>
    <row r="131" spans="1:13" s="2392" customFormat="1" ht="12.75">
      <c r="A131" s="2391"/>
      <c r="C131" s="2221"/>
      <c r="D131" s="2221"/>
      <c r="E131" s="2221"/>
      <c r="F131" s="2221"/>
      <c r="G131" s="2221"/>
      <c r="H131" s="2221"/>
      <c r="I131" s="2221"/>
      <c r="J131" s="2221"/>
      <c r="K131" s="2221"/>
      <c r="L131" s="2221"/>
      <c r="M131" s="2221"/>
    </row>
    <row r="132" spans="1:13" s="2392" customFormat="1" ht="12.75">
      <c r="A132" s="2391"/>
      <c r="C132" s="2221"/>
      <c r="D132" s="2221"/>
      <c r="E132" s="2221"/>
      <c r="F132" s="2221"/>
      <c r="G132" s="2221"/>
      <c r="H132" s="2221"/>
      <c r="I132" s="2221"/>
      <c r="J132" s="2221"/>
      <c r="K132" s="2221"/>
      <c r="L132" s="2221"/>
      <c r="M132" s="2221"/>
    </row>
    <row r="133" spans="1:13" s="2392" customFormat="1" ht="12.75">
      <c r="A133" s="2391"/>
      <c r="C133" s="2221"/>
      <c r="D133" s="2221"/>
      <c r="E133" s="2221"/>
      <c r="F133" s="2221"/>
      <c r="G133" s="2221"/>
      <c r="H133" s="2221"/>
      <c r="I133" s="2221"/>
      <c r="J133" s="2221"/>
      <c r="K133" s="2221"/>
      <c r="L133" s="2221"/>
      <c r="M133" s="2221"/>
    </row>
    <row r="134" spans="1:13" s="2392" customFormat="1" ht="12.75">
      <c r="A134" s="2391"/>
      <c r="C134" s="2221"/>
      <c r="D134" s="2221"/>
      <c r="E134" s="2221"/>
      <c r="F134" s="2221"/>
      <c r="G134" s="2221"/>
      <c r="H134" s="2221"/>
      <c r="I134" s="2221"/>
      <c r="J134" s="2221"/>
      <c r="K134" s="2221"/>
      <c r="L134" s="2221"/>
      <c r="M134" s="2221"/>
    </row>
    <row r="135" spans="1:13" s="2392" customFormat="1" ht="12.75">
      <c r="A135" s="2391"/>
      <c r="C135" s="2221"/>
      <c r="D135" s="2221"/>
      <c r="E135" s="2221"/>
      <c r="F135" s="2221"/>
      <c r="G135" s="2221"/>
      <c r="H135" s="2221"/>
      <c r="I135" s="2221"/>
      <c r="J135" s="2221"/>
      <c r="K135" s="2221"/>
      <c r="L135" s="2221"/>
      <c r="M135" s="2221"/>
    </row>
    <row r="136" spans="1:13" s="2392" customFormat="1" ht="12.75">
      <c r="A136" s="2391"/>
      <c r="C136" s="2221"/>
      <c r="D136" s="2221"/>
      <c r="E136" s="2221"/>
      <c r="F136" s="2221"/>
      <c r="G136" s="2221"/>
      <c r="H136" s="2221"/>
      <c r="I136" s="2221"/>
      <c r="J136" s="2221"/>
      <c r="K136" s="2221"/>
      <c r="L136" s="2221"/>
      <c r="M136" s="2221"/>
    </row>
    <row r="137" spans="1:13" s="2392" customFormat="1" ht="12.75">
      <c r="A137" s="2391"/>
      <c r="C137" s="2221"/>
      <c r="D137" s="2221"/>
      <c r="E137" s="2221"/>
      <c r="F137" s="2221"/>
      <c r="G137" s="2221"/>
      <c r="H137" s="2221"/>
      <c r="I137" s="2221"/>
      <c r="J137" s="2221"/>
      <c r="K137" s="2221"/>
      <c r="L137" s="2221"/>
      <c r="M137" s="2221"/>
    </row>
    <row r="138" spans="1:13" s="2392" customFormat="1" ht="12.75">
      <c r="A138" s="2391"/>
      <c r="C138" s="2221"/>
      <c r="D138" s="2221"/>
      <c r="E138" s="2221"/>
      <c r="F138" s="2221"/>
      <c r="G138" s="2221"/>
      <c r="H138" s="2221"/>
      <c r="I138" s="2221"/>
      <c r="J138" s="2221"/>
      <c r="K138" s="2221"/>
      <c r="L138" s="2221"/>
      <c r="M138" s="2221"/>
    </row>
    <row r="139" spans="1:13" s="2392" customFormat="1" ht="12.75">
      <c r="A139" s="2391"/>
      <c r="C139" s="2221"/>
      <c r="D139" s="2221"/>
      <c r="E139" s="2221"/>
      <c r="F139" s="2221"/>
      <c r="G139" s="2221"/>
      <c r="H139" s="2221"/>
      <c r="I139" s="2221"/>
      <c r="J139" s="2221"/>
      <c r="K139" s="2221"/>
      <c r="L139" s="2221"/>
      <c r="M139" s="2221"/>
    </row>
    <row r="140" spans="1:13" s="2392" customFormat="1" ht="12.75">
      <c r="A140" s="2391"/>
      <c r="C140" s="2221"/>
      <c r="D140" s="2221"/>
      <c r="E140" s="2221"/>
      <c r="F140" s="2221"/>
      <c r="G140" s="2221"/>
      <c r="H140" s="2221"/>
      <c r="I140" s="2221"/>
      <c r="J140" s="2221"/>
      <c r="K140" s="2221"/>
      <c r="L140" s="2221"/>
      <c r="M140" s="2221"/>
    </row>
    <row r="141" spans="1:13" s="2392" customFormat="1" ht="12.75">
      <c r="A141" s="2391"/>
      <c r="C141" s="2221"/>
      <c r="D141" s="2221"/>
      <c r="E141" s="2221"/>
      <c r="F141" s="2221"/>
      <c r="G141" s="2221"/>
      <c r="H141" s="2221"/>
      <c r="I141" s="2221"/>
      <c r="J141" s="2221"/>
      <c r="K141" s="2221"/>
      <c r="L141" s="2221"/>
      <c r="M141" s="2221"/>
    </row>
    <row r="142" spans="1:13" s="2392" customFormat="1" ht="12.75">
      <c r="A142" s="2391"/>
      <c r="C142" s="2221"/>
      <c r="D142" s="2221"/>
      <c r="E142" s="2221"/>
      <c r="F142" s="2221"/>
      <c r="G142" s="2221"/>
      <c r="H142" s="2221"/>
      <c r="I142" s="2221"/>
      <c r="J142" s="2221"/>
      <c r="K142" s="2221"/>
      <c r="L142" s="2221"/>
      <c r="M142" s="2221"/>
    </row>
    <row r="143" spans="1:13" s="2392" customFormat="1" ht="12.75">
      <c r="A143" s="2391"/>
      <c r="C143" s="2221"/>
      <c r="D143" s="2221"/>
      <c r="E143" s="2221"/>
      <c r="F143" s="2221"/>
      <c r="G143" s="2221"/>
      <c r="H143" s="2221"/>
      <c r="I143" s="2221"/>
      <c r="J143" s="2221"/>
      <c r="K143" s="2221"/>
      <c r="L143" s="2221"/>
      <c r="M143" s="2221"/>
    </row>
    <row r="144" spans="1:13" s="2392" customFormat="1" ht="12.75">
      <c r="A144" s="2391"/>
      <c r="C144" s="2221"/>
      <c r="D144" s="2221"/>
      <c r="E144" s="2221"/>
      <c r="F144" s="2221"/>
      <c r="G144" s="2221"/>
      <c r="H144" s="2221"/>
      <c r="I144" s="2221"/>
      <c r="J144" s="2221"/>
      <c r="K144" s="2221"/>
      <c r="L144" s="2221"/>
      <c r="M144" s="2221"/>
    </row>
    <row r="145" spans="1:13" s="2392" customFormat="1" ht="12.75">
      <c r="A145" s="2391"/>
      <c r="C145" s="2221"/>
      <c r="D145" s="2221"/>
      <c r="E145" s="2221"/>
      <c r="F145" s="2221"/>
      <c r="G145" s="2221"/>
      <c r="H145" s="2221"/>
      <c r="I145" s="2221"/>
      <c r="J145" s="2221"/>
      <c r="K145" s="2221"/>
      <c r="L145" s="2221"/>
      <c r="M145" s="2221"/>
    </row>
    <row r="146" spans="1:13" s="2392" customFormat="1" ht="12.75">
      <c r="A146" s="2391"/>
      <c r="C146" s="2221"/>
      <c r="D146" s="2221"/>
      <c r="E146" s="2221"/>
      <c r="F146" s="2221"/>
      <c r="G146" s="2221"/>
      <c r="H146" s="2221"/>
      <c r="I146" s="2221"/>
      <c r="J146" s="2221"/>
      <c r="K146" s="2221"/>
      <c r="L146" s="2221"/>
      <c r="M146" s="2221"/>
    </row>
    <row r="147" spans="1:13" s="2392" customFormat="1" ht="12.75">
      <c r="A147" s="2391"/>
      <c r="C147" s="2221"/>
      <c r="D147" s="2221"/>
      <c r="E147" s="2221"/>
      <c r="F147" s="2221"/>
      <c r="G147" s="2221"/>
      <c r="H147" s="2221"/>
      <c r="I147" s="2221"/>
      <c r="J147" s="2221"/>
      <c r="K147" s="2221"/>
      <c r="L147" s="2221"/>
      <c r="M147" s="2221"/>
    </row>
    <row r="148" spans="1:13" s="2392" customFormat="1" ht="12.75">
      <c r="A148" s="2391"/>
      <c r="C148" s="2221"/>
      <c r="D148" s="2221"/>
      <c r="E148" s="2221"/>
      <c r="F148" s="2221"/>
      <c r="G148" s="2221"/>
      <c r="H148" s="2221"/>
      <c r="I148" s="2221"/>
      <c r="J148" s="2221"/>
      <c r="K148" s="2221"/>
      <c r="L148" s="2221"/>
      <c r="M148" s="2221"/>
    </row>
    <row r="149" spans="1:13" s="2392" customFormat="1" ht="12.75">
      <c r="A149" s="2391"/>
      <c r="C149" s="2221"/>
      <c r="D149" s="2221"/>
      <c r="E149" s="2221"/>
      <c r="F149" s="2221"/>
      <c r="G149" s="2221"/>
      <c r="H149" s="2221"/>
      <c r="I149" s="2221"/>
      <c r="J149" s="2221"/>
      <c r="K149" s="2221"/>
      <c r="L149" s="2221"/>
      <c r="M149" s="2221"/>
    </row>
    <row r="150" spans="1:13" s="2392" customFormat="1" ht="12.75">
      <c r="A150" s="2391"/>
      <c r="C150" s="2221"/>
      <c r="D150" s="2221"/>
      <c r="E150" s="2221"/>
      <c r="F150" s="2221"/>
      <c r="G150" s="2221"/>
      <c r="H150" s="2221"/>
      <c r="I150" s="2221"/>
      <c r="J150" s="2221"/>
      <c r="K150" s="2221"/>
      <c r="L150" s="2221"/>
      <c r="M150" s="2221"/>
    </row>
    <row r="151" spans="1:13" s="2392" customFormat="1" ht="12.75">
      <c r="A151" s="2391"/>
      <c r="C151" s="2221"/>
      <c r="D151" s="2221"/>
      <c r="E151" s="2221"/>
      <c r="F151" s="2221"/>
      <c r="G151" s="2221"/>
      <c r="H151" s="2221"/>
      <c r="I151" s="2221"/>
      <c r="J151" s="2221"/>
      <c r="K151" s="2221"/>
      <c r="L151" s="2221"/>
      <c r="M151" s="2221"/>
    </row>
    <row r="152" spans="1:13" s="2392" customFormat="1" ht="12.75">
      <c r="A152" s="2391"/>
      <c r="C152" s="2221"/>
      <c r="D152" s="2221"/>
      <c r="E152" s="2221"/>
      <c r="F152" s="2221"/>
      <c r="G152" s="2221"/>
      <c r="H152" s="2221"/>
      <c r="I152" s="2221"/>
      <c r="J152" s="2221"/>
      <c r="K152" s="2221"/>
      <c r="L152" s="2221"/>
      <c r="M152" s="2221"/>
    </row>
    <row r="153" spans="1:13" s="2392" customFormat="1" ht="12.75">
      <c r="A153" s="2391"/>
      <c r="C153" s="2221"/>
      <c r="D153" s="2221"/>
      <c r="E153" s="2221"/>
      <c r="F153" s="2221"/>
      <c r="G153" s="2221"/>
      <c r="H153" s="2221"/>
      <c r="I153" s="2221"/>
      <c r="J153" s="2221"/>
      <c r="K153" s="2221"/>
      <c r="L153" s="2221"/>
      <c r="M153" s="2221"/>
    </row>
    <row r="154" spans="1:13" s="2392" customFormat="1" ht="12.75">
      <c r="A154" s="2391"/>
      <c r="C154" s="2221"/>
      <c r="D154" s="2221"/>
      <c r="E154" s="2221"/>
      <c r="F154" s="2221"/>
      <c r="G154" s="2221"/>
      <c r="H154" s="2221"/>
      <c r="I154" s="2221"/>
      <c r="J154" s="2221"/>
      <c r="K154" s="2221"/>
      <c r="L154" s="2221"/>
      <c r="M154" s="2221"/>
    </row>
    <row r="155" spans="1:13" s="2392" customFormat="1" ht="12.75">
      <c r="A155" s="2391"/>
      <c r="C155" s="2221"/>
      <c r="D155" s="2221"/>
      <c r="E155" s="2221"/>
      <c r="F155" s="2221"/>
      <c r="G155" s="2221"/>
      <c r="H155" s="2221"/>
      <c r="I155" s="2221"/>
      <c r="J155" s="2221"/>
      <c r="K155" s="2221"/>
      <c r="L155" s="2221"/>
      <c r="M155" s="2221"/>
    </row>
    <row r="156" spans="1:13" s="2392" customFormat="1" ht="12.75">
      <c r="A156" s="2391"/>
      <c r="C156" s="2221"/>
      <c r="D156" s="2221"/>
      <c r="E156" s="2221"/>
      <c r="F156" s="2221"/>
      <c r="G156" s="2221"/>
      <c r="H156" s="2221"/>
      <c r="I156" s="2221"/>
      <c r="J156" s="2221"/>
      <c r="K156" s="2221"/>
      <c r="L156" s="2221"/>
      <c r="M156" s="2221"/>
    </row>
    <row r="157" spans="1:13" s="2392" customFormat="1" ht="12.75">
      <c r="A157" s="2391"/>
      <c r="C157" s="2221"/>
      <c r="D157" s="2221"/>
      <c r="E157" s="2221"/>
      <c r="F157" s="2221"/>
      <c r="G157" s="2221"/>
      <c r="H157" s="2221"/>
      <c r="I157" s="2221"/>
      <c r="J157" s="2221"/>
      <c r="K157" s="2221"/>
      <c r="L157" s="2221"/>
      <c r="M157" s="2221"/>
    </row>
    <row r="158" spans="1:13" s="2392" customFormat="1" ht="12.75">
      <c r="A158" s="2391"/>
      <c r="C158" s="2221"/>
      <c r="D158" s="2221"/>
      <c r="E158" s="2221"/>
      <c r="F158" s="2221"/>
      <c r="G158" s="2221"/>
      <c r="H158" s="2221"/>
      <c r="I158" s="2221"/>
      <c r="J158" s="2221"/>
      <c r="K158" s="2221"/>
      <c r="L158" s="2221"/>
      <c r="M158" s="2221"/>
    </row>
    <row r="159" spans="1:13" s="2392" customFormat="1" ht="12.75">
      <c r="A159" s="2391"/>
      <c r="C159" s="2221"/>
      <c r="D159" s="2221"/>
      <c r="E159" s="2221"/>
      <c r="F159" s="2221"/>
      <c r="G159" s="2221"/>
      <c r="H159" s="2221"/>
      <c r="I159" s="2221"/>
      <c r="J159" s="2221"/>
      <c r="K159" s="2221"/>
      <c r="L159" s="2221"/>
      <c r="M159" s="2221"/>
    </row>
    <row r="225" spans="5:5">
      <c r="E225" s="2265">
        <f>115000000+12000000</f>
        <v>127000000</v>
      </c>
    </row>
    <row r="333" spans="5:5">
      <c r="E333" s="2265"/>
    </row>
  </sheetData>
  <mergeCells count="56">
    <mergeCell ref="A1:L1"/>
    <mergeCell ref="A2:L2"/>
    <mergeCell ref="A3:A5"/>
    <mergeCell ref="B3:B5"/>
    <mergeCell ref="C3:C5"/>
    <mergeCell ref="D3:D5"/>
    <mergeCell ref="E3:E5"/>
    <mergeCell ref="F3:F5"/>
    <mergeCell ref="G3:K3"/>
    <mergeCell ref="L3:L5"/>
    <mergeCell ref="G4:G5"/>
    <mergeCell ref="H4:I4"/>
    <mergeCell ref="J4:J5"/>
    <mergeCell ref="K4:K5"/>
    <mergeCell ref="A6:A10"/>
    <mergeCell ref="B6:C6"/>
    <mergeCell ref="B7:B10"/>
    <mergeCell ref="C7:C10"/>
    <mergeCell ref="A11:A17"/>
    <mergeCell ref="B11:C11"/>
    <mergeCell ref="B13:B17"/>
    <mergeCell ref="C13:C17"/>
    <mergeCell ref="A18:A22"/>
    <mergeCell ref="B18:C18"/>
    <mergeCell ref="B19:B22"/>
    <mergeCell ref="C19:C22"/>
    <mergeCell ref="A23:A27"/>
    <mergeCell ref="B23:C23"/>
    <mergeCell ref="B24:B27"/>
    <mergeCell ref="C24:C27"/>
    <mergeCell ref="A93:L93"/>
    <mergeCell ref="A55:A60"/>
    <mergeCell ref="B55:C55"/>
    <mergeCell ref="B58:B60"/>
    <mergeCell ref="C58:C60"/>
    <mergeCell ref="A61:A65"/>
    <mergeCell ref="B61:C61"/>
    <mergeCell ref="B62:B65"/>
    <mergeCell ref="C62:C65"/>
    <mergeCell ref="A66:A86"/>
    <mergeCell ref="B66:C66"/>
    <mergeCell ref="B67:B86"/>
    <mergeCell ref="C67:C86"/>
    <mergeCell ref="A87:C87"/>
    <mergeCell ref="B33:B38"/>
    <mergeCell ref="C33:C38"/>
    <mergeCell ref="B39:B50"/>
    <mergeCell ref="C39:C50"/>
    <mergeCell ref="A51:A54"/>
    <mergeCell ref="B51:C51"/>
    <mergeCell ref="B52:B54"/>
    <mergeCell ref="C52:C54"/>
    <mergeCell ref="A28:A50"/>
    <mergeCell ref="B28:C28"/>
    <mergeCell ref="B29:B32"/>
    <mergeCell ref="C29:C32"/>
  </mergeCells>
  <printOptions horizontalCentered="1"/>
  <pageMargins left="0.51181102362204722" right="0.51181102362204722" top="0.74803149606299213" bottom="0.35433070866141736" header="0.31496062992125984" footer="0.31496062992125984"/>
  <pageSetup paperSize="9" scale="65" orientation="portrait" r:id="rId1"/>
  <headerFooter>
    <oddFooter>Strona &amp;P z &amp;N</oddFooter>
  </headerFooter>
  <rowBreaks count="1" manualBreakCount="1">
    <brk id="60" max="11" man="1"/>
  </rowBreaks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G289"/>
  <sheetViews>
    <sheetView view="pageBreakPreview" zoomScaleNormal="75" zoomScaleSheetLayoutView="100" workbookViewId="0">
      <selection activeCell="L6" sqref="L6"/>
    </sheetView>
  </sheetViews>
  <sheetFormatPr defaultRowHeight="15.75"/>
  <cols>
    <col min="1" max="1" width="8.140625" style="2393" customWidth="1"/>
    <col min="2" max="2" width="10.42578125" style="2393" customWidth="1"/>
    <col min="3" max="3" width="9.42578125" style="2392" customWidth="1"/>
    <col min="4" max="4" width="36.5703125" style="2221" customWidth="1"/>
    <col min="5" max="5" width="12.140625" style="2221" bestFit="1" customWidth="1"/>
    <col min="6" max="6" width="15.7109375" style="2221" customWidth="1"/>
    <col min="7" max="7" width="16.5703125" style="2221" customWidth="1"/>
    <col min="8" max="16384" width="9.140625" style="2221"/>
  </cols>
  <sheetData>
    <row r="1" spans="1:7" ht="57" customHeight="1">
      <c r="A1" s="2233"/>
      <c r="B1" s="2233"/>
      <c r="C1" s="2394"/>
      <c r="D1" s="2395"/>
      <c r="E1" s="3539" t="s">
        <v>1235</v>
      </c>
      <c r="F1" s="3539"/>
      <c r="G1" s="3539"/>
    </row>
    <row r="2" spans="1:7" ht="84.75" customHeight="1" thickBot="1">
      <c r="A2" s="3323" t="s">
        <v>1038</v>
      </c>
      <c r="B2" s="3323"/>
      <c r="C2" s="3323"/>
      <c r="D2" s="3323"/>
      <c r="E2" s="3323"/>
      <c r="F2" s="3323"/>
      <c r="G2" s="3323"/>
    </row>
    <row r="3" spans="1:7" ht="35.25" customHeight="1">
      <c r="A3" s="3540" t="s">
        <v>0</v>
      </c>
      <c r="B3" s="3542" t="s">
        <v>1</v>
      </c>
      <c r="C3" s="3542" t="s">
        <v>3</v>
      </c>
      <c r="D3" s="3544" t="s">
        <v>51</v>
      </c>
      <c r="E3" s="3546" t="s">
        <v>1039</v>
      </c>
      <c r="F3" s="3547" t="s">
        <v>1040</v>
      </c>
      <c r="G3" s="3548"/>
    </row>
    <row r="4" spans="1:7" ht="28.5" customHeight="1" thickBot="1">
      <c r="A4" s="3541"/>
      <c r="B4" s="3543"/>
      <c r="C4" s="3543"/>
      <c r="D4" s="3545"/>
      <c r="E4" s="3543"/>
      <c r="F4" s="2396" t="s">
        <v>1041</v>
      </c>
      <c r="G4" s="2397" t="s">
        <v>1042</v>
      </c>
    </row>
    <row r="5" spans="1:7" ht="31.5" customHeight="1" thickBot="1">
      <c r="A5" s="3528" t="s">
        <v>262</v>
      </c>
      <c r="B5" s="3531" t="s">
        <v>263</v>
      </c>
      <c r="C5" s="3532"/>
      <c r="D5" s="3533"/>
      <c r="E5" s="2398">
        <f>SUM(E6)</f>
        <v>27368</v>
      </c>
      <c r="F5" s="2399">
        <f>SUM(F6)</f>
        <v>26000</v>
      </c>
      <c r="G5" s="2400">
        <f>SUM(G6)</f>
        <v>1368</v>
      </c>
    </row>
    <row r="6" spans="1:7" ht="29.25" customHeight="1">
      <c r="A6" s="3529"/>
      <c r="B6" s="3534" t="s">
        <v>264</v>
      </c>
      <c r="C6" s="3537" t="s">
        <v>254</v>
      </c>
      <c r="D6" s="3538"/>
      <c r="E6" s="2401">
        <f>SUM(E7:E8)</f>
        <v>27368</v>
      </c>
      <c r="F6" s="2402">
        <f>SUM(F7:F8)</f>
        <v>26000</v>
      </c>
      <c r="G6" s="2403">
        <f>SUM(G7:G8)</f>
        <v>1368</v>
      </c>
    </row>
    <row r="7" spans="1:7" ht="27.75" customHeight="1">
      <c r="A7" s="3529"/>
      <c r="B7" s="3535"/>
      <c r="C7" s="2404">
        <v>2350</v>
      </c>
      <c r="D7" s="2405"/>
      <c r="E7" s="2406">
        <f>F7+G7</f>
        <v>26000</v>
      </c>
      <c r="F7" s="2322">
        <v>26000</v>
      </c>
      <c r="G7" s="2407"/>
    </row>
    <row r="8" spans="1:7" ht="27.75" customHeight="1" thickBot="1">
      <c r="A8" s="3530"/>
      <c r="B8" s="3536"/>
      <c r="C8" s="2408">
        <v>2360</v>
      </c>
      <c r="D8" s="2409"/>
      <c r="E8" s="2406">
        <f>F8+G8</f>
        <v>1368</v>
      </c>
      <c r="F8" s="2410"/>
      <c r="G8" s="2411">
        <v>1368</v>
      </c>
    </row>
    <row r="9" spans="1:7" ht="31.5" customHeight="1" thickBot="1">
      <c r="A9" s="3528" t="s">
        <v>4</v>
      </c>
      <c r="B9" s="3531" t="s">
        <v>82</v>
      </c>
      <c r="C9" s="3532"/>
      <c r="D9" s="3533"/>
      <c r="E9" s="2398">
        <f>SUM(E10)</f>
        <v>94737</v>
      </c>
      <c r="F9" s="2399">
        <f>SUM(F10)</f>
        <v>90000</v>
      </c>
      <c r="G9" s="2400">
        <f>SUM(G10)</f>
        <v>4737</v>
      </c>
    </row>
    <row r="10" spans="1:7" ht="29.25" customHeight="1">
      <c r="A10" s="3529"/>
      <c r="B10" s="3534" t="s">
        <v>697</v>
      </c>
      <c r="C10" s="3537" t="s">
        <v>254</v>
      </c>
      <c r="D10" s="3538"/>
      <c r="E10" s="2401">
        <f>SUM(E11:E12)</f>
        <v>94737</v>
      </c>
      <c r="F10" s="2402">
        <f>SUM(F11:F12)</f>
        <v>90000</v>
      </c>
      <c r="G10" s="2403">
        <f>SUM(G11:G12)</f>
        <v>4737</v>
      </c>
    </row>
    <row r="11" spans="1:7" ht="27.75" customHeight="1">
      <c r="A11" s="3529"/>
      <c r="B11" s="3535"/>
      <c r="C11" s="2404">
        <v>2350</v>
      </c>
      <c r="D11" s="2405"/>
      <c r="E11" s="2406">
        <f>F11+G11</f>
        <v>90000</v>
      </c>
      <c r="F11" s="2322">
        <v>90000</v>
      </c>
      <c r="G11" s="2407"/>
    </row>
    <row r="12" spans="1:7" ht="27.75" customHeight="1" thickBot="1">
      <c r="A12" s="3530"/>
      <c r="B12" s="3536"/>
      <c r="C12" s="2408">
        <v>2360</v>
      </c>
      <c r="D12" s="2409"/>
      <c r="E12" s="2406">
        <f>F12+G12</f>
        <v>4737</v>
      </c>
      <c r="F12" s="2410"/>
      <c r="G12" s="2411">
        <v>4737</v>
      </c>
    </row>
    <row r="13" spans="1:7" ht="33.75" customHeight="1" thickBot="1">
      <c r="A13" s="3528" t="s">
        <v>710</v>
      </c>
      <c r="B13" s="3531" t="s">
        <v>1043</v>
      </c>
      <c r="C13" s="3532"/>
      <c r="D13" s="3533"/>
      <c r="E13" s="2398">
        <f>SUM(E14)</f>
        <v>8421</v>
      </c>
      <c r="F13" s="2399">
        <f>SUM(F14)</f>
        <v>8000</v>
      </c>
      <c r="G13" s="2400">
        <f>SUM(G14)</f>
        <v>421</v>
      </c>
    </row>
    <row r="14" spans="1:7" ht="27.75" customHeight="1">
      <c r="A14" s="3529"/>
      <c r="B14" s="3534" t="s">
        <v>1044</v>
      </c>
      <c r="C14" s="3537" t="s">
        <v>323</v>
      </c>
      <c r="D14" s="3538"/>
      <c r="E14" s="2401">
        <f>SUM(E15:E16)</f>
        <v>8421</v>
      </c>
      <c r="F14" s="2402">
        <f>SUM(F15:F16)</f>
        <v>8000</v>
      </c>
      <c r="G14" s="2403">
        <f>SUM(G15:G16)</f>
        <v>421</v>
      </c>
    </row>
    <row r="15" spans="1:7" ht="29.25" customHeight="1">
      <c r="A15" s="3529"/>
      <c r="B15" s="3535"/>
      <c r="C15" s="2404">
        <v>2350</v>
      </c>
      <c r="D15" s="2405"/>
      <c r="E15" s="2406">
        <f>F15+G15</f>
        <v>8000</v>
      </c>
      <c r="F15" s="2322">
        <v>8000</v>
      </c>
      <c r="G15" s="2407"/>
    </row>
    <row r="16" spans="1:7" ht="29.25" customHeight="1" thickBot="1">
      <c r="A16" s="3530"/>
      <c r="B16" s="3536"/>
      <c r="C16" s="2412">
        <v>2360</v>
      </c>
      <c r="D16" s="2413"/>
      <c r="E16" s="2406">
        <f>F16+G16</f>
        <v>421</v>
      </c>
      <c r="F16" s="2410"/>
      <c r="G16" s="2411">
        <v>421</v>
      </c>
    </row>
    <row r="17" spans="1:7" ht="33.75" customHeight="1" thickBot="1">
      <c r="A17" s="3528" t="s">
        <v>731</v>
      </c>
      <c r="B17" s="3531" t="s">
        <v>340</v>
      </c>
      <c r="C17" s="3532"/>
      <c r="D17" s="3533"/>
      <c r="E17" s="2398">
        <f>SUM(E18+E21)</f>
        <v>24211</v>
      </c>
      <c r="F17" s="2399">
        <f>SUM(F18+F21)</f>
        <v>23000</v>
      </c>
      <c r="G17" s="2400">
        <f>SUM(G18+G21)</f>
        <v>1211</v>
      </c>
    </row>
    <row r="18" spans="1:7" ht="27" customHeight="1">
      <c r="A18" s="3529"/>
      <c r="B18" s="3534" t="s">
        <v>733</v>
      </c>
      <c r="C18" s="3537" t="s">
        <v>341</v>
      </c>
      <c r="D18" s="3538"/>
      <c r="E18" s="2401">
        <f>SUM(E19:E20)</f>
        <v>3158</v>
      </c>
      <c r="F18" s="2402">
        <f>SUM(F19:F20)</f>
        <v>3000</v>
      </c>
      <c r="G18" s="2403">
        <f>SUM(G19:G20)</f>
        <v>158</v>
      </c>
    </row>
    <row r="19" spans="1:7" ht="29.25" customHeight="1">
      <c r="A19" s="3529"/>
      <c r="B19" s="3535"/>
      <c r="C19" s="2404">
        <v>2350</v>
      </c>
      <c r="D19" s="2405"/>
      <c r="E19" s="2406">
        <f>F19+G19</f>
        <v>3000</v>
      </c>
      <c r="F19" s="2322">
        <v>3000</v>
      </c>
      <c r="G19" s="2407"/>
    </row>
    <row r="20" spans="1:7" ht="29.25" customHeight="1" thickBot="1">
      <c r="A20" s="3529"/>
      <c r="B20" s="3536"/>
      <c r="C20" s="2412">
        <v>2360</v>
      </c>
      <c r="D20" s="2413"/>
      <c r="E20" s="2406">
        <f>F20+G20</f>
        <v>158</v>
      </c>
      <c r="F20" s="2410"/>
      <c r="G20" s="2411">
        <v>158</v>
      </c>
    </row>
    <row r="21" spans="1:7" ht="27" customHeight="1">
      <c r="A21" s="3529"/>
      <c r="B21" s="3534" t="s">
        <v>758</v>
      </c>
      <c r="C21" s="3537" t="s">
        <v>348</v>
      </c>
      <c r="D21" s="3538"/>
      <c r="E21" s="2414">
        <f>SUM(E22:E23)</f>
        <v>21053</v>
      </c>
      <c r="F21" s="2402">
        <f>SUM(F22:F23)</f>
        <v>20000</v>
      </c>
      <c r="G21" s="2403">
        <f>SUM(G22:G23)</f>
        <v>1053</v>
      </c>
    </row>
    <row r="22" spans="1:7" ht="29.25" customHeight="1">
      <c r="A22" s="3529"/>
      <c r="B22" s="3535"/>
      <c r="C22" s="2404">
        <v>2350</v>
      </c>
      <c r="D22" s="2405"/>
      <c r="E22" s="2406">
        <f>F22+G22</f>
        <v>20000</v>
      </c>
      <c r="F22" s="2322">
        <v>20000</v>
      </c>
      <c r="G22" s="2407"/>
    </row>
    <row r="23" spans="1:7" ht="29.25" customHeight="1" thickBot="1">
      <c r="A23" s="3530"/>
      <c r="B23" s="3536"/>
      <c r="C23" s="2412">
        <v>2360</v>
      </c>
      <c r="D23" s="2413"/>
      <c r="E23" s="2406">
        <f>F23+G23</f>
        <v>1053</v>
      </c>
      <c r="F23" s="2410"/>
      <c r="G23" s="2411">
        <v>1053</v>
      </c>
    </row>
    <row r="24" spans="1:7" ht="30" customHeight="1" thickBot="1">
      <c r="A24" s="3523" t="s">
        <v>10</v>
      </c>
      <c r="B24" s="3524"/>
      <c r="C24" s="3525"/>
      <c r="D24" s="3526"/>
      <c r="E24" s="2415">
        <f>SUM(E17,E13,E9,E5)</f>
        <v>154737</v>
      </c>
      <c r="F24" s="2416">
        <f>SUM(F17,F13,F9,F5)</f>
        <v>147000</v>
      </c>
      <c r="G24" s="2417">
        <f>SUM(G17,G13,G9,G5)</f>
        <v>7737</v>
      </c>
    </row>
    <row r="25" spans="1:7">
      <c r="A25" s="2418"/>
      <c r="B25" s="2418"/>
      <c r="C25" s="2419"/>
      <c r="D25" s="2420"/>
      <c r="E25" s="2421"/>
      <c r="F25" s="2422"/>
      <c r="G25" s="2420"/>
    </row>
    <row r="26" spans="1:7">
      <c r="A26" s="2418"/>
      <c r="B26" s="2418"/>
      <c r="C26" s="2419"/>
      <c r="D26" s="2420"/>
      <c r="E26" s="2421"/>
      <c r="F26" s="2422"/>
      <c r="G26" s="2420"/>
    </row>
    <row r="27" spans="1:7">
      <c r="A27" s="2423"/>
      <c r="B27" s="2423"/>
      <c r="C27" s="2390"/>
      <c r="F27" s="107"/>
    </row>
    <row r="28" spans="1:7">
      <c r="A28" s="2423"/>
      <c r="B28" s="2423"/>
      <c r="C28" s="2390"/>
      <c r="F28" s="107"/>
    </row>
    <row r="29" spans="1:7">
      <c r="A29" s="2423"/>
      <c r="B29" s="2423"/>
      <c r="C29" s="2390"/>
      <c r="F29" s="107"/>
    </row>
    <row r="30" spans="1:7">
      <c r="A30" s="3527"/>
      <c r="B30" s="3527"/>
      <c r="C30" s="3527"/>
      <c r="D30" s="3527"/>
      <c r="E30" s="3527"/>
      <c r="F30" s="3527"/>
    </row>
    <row r="31" spans="1:7">
      <c r="A31" s="2423"/>
      <c r="B31" s="2423"/>
      <c r="C31" s="2390"/>
      <c r="F31" s="107"/>
    </row>
    <row r="32" spans="1:7">
      <c r="A32" s="2423"/>
      <c r="B32" s="2423"/>
      <c r="C32" s="2390"/>
      <c r="F32" s="107"/>
    </row>
    <row r="33" spans="1:6">
      <c r="A33" s="2423"/>
      <c r="B33" s="2423"/>
      <c r="C33" s="2390"/>
      <c r="F33" s="107"/>
    </row>
    <row r="34" spans="1:6">
      <c r="A34" s="2423"/>
      <c r="B34" s="2423"/>
      <c r="C34" s="2390"/>
      <c r="F34" s="107"/>
    </row>
    <row r="35" spans="1:6">
      <c r="A35" s="2423"/>
      <c r="B35" s="2423"/>
      <c r="C35" s="2390"/>
      <c r="F35" s="107"/>
    </row>
    <row r="36" spans="1:6">
      <c r="A36" s="2423"/>
      <c r="B36" s="2423"/>
      <c r="C36" s="2390"/>
      <c r="F36" s="107"/>
    </row>
    <row r="37" spans="1:6">
      <c r="A37" s="2423"/>
      <c r="B37" s="2423"/>
      <c r="C37" s="2390"/>
      <c r="F37" s="107"/>
    </row>
    <row r="38" spans="1:6">
      <c r="C38" s="2390"/>
      <c r="F38" s="107"/>
    </row>
    <row r="39" spans="1:6">
      <c r="C39" s="2390"/>
      <c r="F39" s="107"/>
    </row>
    <row r="40" spans="1:6">
      <c r="C40" s="2390"/>
      <c r="F40" s="107"/>
    </row>
    <row r="41" spans="1:6">
      <c r="C41" s="2390"/>
      <c r="F41" s="107"/>
    </row>
    <row r="42" spans="1:6">
      <c r="C42" s="2390"/>
      <c r="F42" s="107"/>
    </row>
    <row r="43" spans="1:6">
      <c r="C43" s="2390"/>
      <c r="F43" s="107"/>
    </row>
    <row r="44" spans="1:6">
      <c r="C44" s="2390"/>
      <c r="F44" s="107"/>
    </row>
    <row r="45" spans="1:6">
      <c r="C45" s="2390"/>
      <c r="F45" s="107"/>
    </row>
    <row r="46" spans="1:6">
      <c r="C46" s="2390"/>
      <c r="F46" s="107"/>
    </row>
    <row r="47" spans="1:6">
      <c r="C47" s="2390"/>
      <c r="F47" s="107"/>
    </row>
    <row r="48" spans="1:6">
      <c r="C48" s="2390"/>
      <c r="F48" s="107"/>
    </row>
    <row r="49" spans="3:6">
      <c r="C49" s="2390"/>
      <c r="F49" s="107"/>
    </row>
    <row r="50" spans="3:6">
      <c r="C50" s="2390"/>
      <c r="F50" s="107"/>
    </row>
    <row r="51" spans="3:6">
      <c r="C51" s="2390"/>
      <c r="F51" s="107"/>
    </row>
    <row r="52" spans="3:6">
      <c r="C52" s="2390"/>
      <c r="F52" s="107"/>
    </row>
    <row r="53" spans="3:6">
      <c r="C53" s="2390"/>
      <c r="F53" s="107"/>
    </row>
    <row r="181" spans="4:4">
      <c r="D181" s="2265">
        <f>115000000+12000000</f>
        <v>127000000</v>
      </c>
    </row>
    <row r="289" spans="4:4">
      <c r="D289" s="2265"/>
    </row>
  </sheetData>
  <mergeCells count="28">
    <mergeCell ref="E1:G1"/>
    <mergeCell ref="A2:G2"/>
    <mergeCell ref="A3:A4"/>
    <mergeCell ref="B3:B4"/>
    <mergeCell ref="C3:C4"/>
    <mergeCell ref="D3:D4"/>
    <mergeCell ref="E3:E4"/>
    <mergeCell ref="F3:G3"/>
    <mergeCell ref="A5:A8"/>
    <mergeCell ref="B5:D5"/>
    <mergeCell ref="B6:B8"/>
    <mergeCell ref="C6:D6"/>
    <mergeCell ref="A9:A12"/>
    <mergeCell ref="B9:D9"/>
    <mergeCell ref="B10:B12"/>
    <mergeCell ref="C10:D10"/>
    <mergeCell ref="A24:D24"/>
    <mergeCell ref="A30:F30"/>
    <mergeCell ref="A13:A16"/>
    <mergeCell ref="B13:D13"/>
    <mergeCell ref="B14:B16"/>
    <mergeCell ref="C14:D14"/>
    <mergeCell ref="A17:A23"/>
    <mergeCell ref="B17:D17"/>
    <mergeCell ref="B18:B20"/>
    <mergeCell ref="C18:D18"/>
    <mergeCell ref="B21:B23"/>
    <mergeCell ref="C21:D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E27"/>
  <sheetViews>
    <sheetView tabSelected="1" view="pageBreakPreview" zoomScaleNormal="100" zoomScaleSheetLayoutView="100" workbookViewId="0">
      <selection activeCell="J10" sqref="J10"/>
    </sheetView>
  </sheetViews>
  <sheetFormatPr defaultRowHeight="12.75"/>
  <cols>
    <col min="1" max="1" width="5.85546875" style="2425" customWidth="1"/>
    <col min="2" max="2" width="49.7109375" style="2425" customWidth="1"/>
    <col min="3" max="4" width="14.5703125" style="2425" customWidth="1"/>
    <col min="5" max="5" width="9" style="2425" customWidth="1"/>
    <col min="6" max="256" width="9.140625" style="2425"/>
    <col min="257" max="257" width="5.85546875" style="2425" customWidth="1"/>
    <col min="258" max="258" width="45.42578125" style="2425" customWidth="1"/>
    <col min="259" max="260" width="14.5703125" style="2425" customWidth="1"/>
    <col min="261" max="261" width="9" style="2425" customWidth="1"/>
    <col min="262" max="512" width="9.140625" style="2425"/>
    <col min="513" max="513" width="5.85546875" style="2425" customWidth="1"/>
    <col min="514" max="514" width="45.42578125" style="2425" customWidth="1"/>
    <col min="515" max="516" width="14.5703125" style="2425" customWidth="1"/>
    <col min="517" max="517" width="9" style="2425" customWidth="1"/>
    <col min="518" max="768" width="9.140625" style="2425"/>
    <col min="769" max="769" width="5.85546875" style="2425" customWidth="1"/>
    <col min="770" max="770" width="45.42578125" style="2425" customWidth="1"/>
    <col min="771" max="772" width="14.5703125" style="2425" customWidth="1"/>
    <col min="773" max="773" width="9" style="2425" customWidth="1"/>
    <col min="774" max="1024" width="9.140625" style="2425"/>
    <col min="1025" max="1025" width="5.85546875" style="2425" customWidth="1"/>
    <col min="1026" max="1026" width="45.42578125" style="2425" customWidth="1"/>
    <col min="1027" max="1028" width="14.5703125" style="2425" customWidth="1"/>
    <col min="1029" max="1029" width="9" style="2425" customWidth="1"/>
    <col min="1030" max="1280" width="9.140625" style="2425"/>
    <col min="1281" max="1281" width="5.85546875" style="2425" customWidth="1"/>
    <col min="1282" max="1282" width="45.42578125" style="2425" customWidth="1"/>
    <col min="1283" max="1284" width="14.5703125" style="2425" customWidth="1"/>
    <col min="1285" max="1285" width="9" style="2425" customWidth="1"/>
    <col min="1286" max="1536" width="9.140625" style="2425"/>
    <col min="1537" max="1537" width="5.85546875" style="2425" customWidth="1"/>
    <col min="1538" max="1538" width="45.42578125" style="2425" customWidth="1"/>
    <col min="1539" max="1540" width="14.5703125" style="2425" customWidth="1"/>
    <col min="1541" max="1541" width="9" style="2425" customWidth="1"/>
    <col min="1542" max="1792" width="9.140625" style="2425"/>
    <col min="1793" max="1793" width="5.85546875" style="2425" customWidth="1"/>
    <col min="1794" max="1794" width="45.42578125" style="2425" customWidth="1"/>
    <col min="1795" max="1796" width="14.5703125" style="2425" customWidth="1"/>
    <col min="1797" max="1797" width="9" style="2425" customWidth="1"/>
    <col min="1798" max="2048" width="9.140625" style="2425"/>
    <col min="2049" max="2049" width="5.85546875" style="2425" customWidth="1"/>
    <col min="2050" max="2050" width="45.42578125" style="2425" customWidth="1"/>
    <col min="2051" max="2052" width="14.5703125" style="2425" customWidth="1"/>
    <col min="2053" max="2053" width="9" style="2425" customWidth="1"/>
    <col min="2054" max="2304" width="9.140625" style="2425"/>
    <col min="2305" max="2305" width="5.85546875" style="2425" customWidth="1"/>
    <col min="2306" max="2306" width="45.42578125" style="2425" customWidth="1"/>
    <col min="2307" max="2308" width="14.5703125" style="2425" customWidth="1"/>
    <col min="2309" max="2309" width="9" style="2425" customWidth="1"/>
    <col min="2310" max="2560" width="9.140625" style="2425"/>
    <col min="2561" max="2561" width="5.85546875" style="2425" customWidth="1"/>
    <col min="2562" max="2562" width="45.42578125" style="2425" customWidth="1"/>
    <col min="2563" max="2564" width="14.5703125" style="2425" customWidth="1"/>
    <col min="2565" max="2565" width="9" style="2425" customWidth="1"/>
    <col min="2566" max="2816" width="9.140625" style="2425"/>
    <col min="2817" max="2817" width="5.85546875" style="2425" customWidth="1"/>
    <col min="2818" max="2818" width="45.42578125" style="2425" customWidth="1"/>
    <col min="2819" max="2820" width="14.5703125" style="2425" customWidth="1"/>
    <col min="2821" max="2821" width="9" style="2425" customWidth="1"/>
    <col min="2822" max="3072" width="9.140625" style="2425"/>
    <col min="3073" max="3073" width="5.85546875" style="2425" customWidth="1"/>
    <col min="3074" max="3074" width="45.42578125" style="2425" customWidth="1"/>
    <col min="3075" max="3076" width="14.5703125" style="2425" customWidth="1"/>
    <col min="3077" max="3077" width="9" style="2425" customWidth="1"/>
    <col min="3078" max="3328" width="9.140625" style="2425"/>
    <col min="3329" max="3329" width="5.85546875" style="2425" customWidth="1"/>
    <col min="3330" max="3330" width="45.42578125" style="2425" customWidth="1"/>
    <col min="3331" max="3332" width="14.5703125" style="2425" customWidth="1"/>
    <col min="3333" max="3333" width="9" style="2425" customWidth="1"/>
    <col min="3334" max="3584" width="9.140625" style="2425"/>
    <col min="3585" max="3585" width="5.85546875" style="2425" customWidth="1"/>
    <col min="3586" max="3586" width="45.42578125" style="2425" customWidth="1"/>
    <col min="3587" max="3588" width="14.5703125" style="2425" customWidth="1"/>
    <col min="3589" max="3589" width="9" style="2425" customWidth="1"/>
    <col min="3590" max="3840" width="9.140625" style="2425"/>
    <col min="3841" max="3841" width="5.85546875" style="2425" customWidth="1"/>
    <col min="3842" max="3842" width="45.42578125" style="2425" customWidth="1"/>
    <col min="3843" max="3844" width="14.5703125" style="2425" customWidth="1"/>
    <col min="3845" max="3845" width="9" style="2425" customWidth="1"/>
    <col min="3846" max="4096" width="9.140625" style="2425"/>
    <col min="4097" max="4097" width="5.85546875" style="2425" customWidth="1"/>
    <col min="4098" max="4098" width="45.42578125" style="2425" customWidth="1"/>
    <col min="4099" max="4100" width="14.5703125" style="2425" customWidth="1"/>
    <col min="4101" max="4101" width="9" style="2425" customWidth="1"/>
    <col min="4102" max="4352" width="9.140625" style="2425"/>
    <col min="4353" max="4353" width="5.85546875" style="2425" customWidth="1"/>
    <col min="4354" max="4354" width="45.42578125" style="2425" customWidth="1"/>
    <col min="4355" max="4356" width="14.5703125" style="2425" customWidth="1"/>
    <col min="4357" max="4357" width="9" style="2425" customWidth="1"/>
    <col min="4358" max="4608" width="9.140625" style="2425"/>
    <col min="4609" max="4609" width="5.85546875" style="2425" customWidth="1"/>
    <col min="4610" max="4610" width="45.42578125" style="2425" customWidth="1"/>
    <col min="4611" max="4612" width="14.5703125" style="2425" customWidth="1"/>
    <col min="4613" max="4613" width="9" style="2425" customWidth="1"/>
    <col min="4614" max="4864" width="9.140625" style="2425"/>
    <col min="4865" max="4865" width="5.85546875" style="2425" customWidth="1"/>
    <col min="4866" max="4866" width="45.42578125" style="2425" customWidth="1"/>
    <col min="4867" max="4868" width="14.5703125" style="2425" customWidth="1"/>
    <col min="4869" max="4869" width="9" style="2425" customWidth="1"/>
    <col min="4870" max="5120" width="9.140625" style="2425"/>
    <col min="5121" max="5121" width="5.85546875" style="2425" customWidth="1"/>
    <col min="5122" max="5122" width="45.42578125" style="2425" customWidth="1"/>
    <col min="5123" max="5124" width="14.5703125" style="2425" customWidth="1"/>
    <col min="5125" max="5125" width="9" style="2425" customWidth="1"/>
    <col min="5126" max="5376" width="9.140625" style="2425"/>
    <col min="5377" max="5377" width="5.85546875" style="2425" customWidth="1"/>
    <col min="5378" max="5378" width="45.42578125" style="2425" customWidth="1"/>
    <col min="5379" max="5380" width="14.5703125" style="2425" customWidth="1"/>
    <col min="5381" max="5381" width="9" style="2425" customWidth="1"/>
    <col min="5382" max="5632" width="9.140625" style="2425"/>
    <col min="5633" max="5633" width="5.85546875" style="2425" customWidth="1"/>
    <col min="5634" max="5634" width="45.42578125" style="2425" customWidth="1"/>
    <col min="5635" max="5636" width="14.5703125" style="2425" customWidth="1"/>
    <col min="5637" max="5637" width="9" style="2425" customWidth="1"/>
    <col min="5638" max="5888" width="9.140625" style="2425"/>
    <col min="5889" max="5889" width="5.85546875" style="2425" customWidth="1"/>
    <col min="5890" max="5890" width="45.42578125" style="2425" customWidth="1"/>
    <col min="5891" max="5892" width="14.5703125" style="2425" customWidth="1"/>
    <col min="5893" max="5893" width="9" style="2425" customWidth="1"/>
    <col min="5894" max="6144" width="9.140625" style="2425"/>
    <col min="6145" max="6145" width="5.85546875" style="2425" customWidth="1"/>
    <col min="6146" max="6146" width="45.42578125" style="2425" customWidth="1"/>
    <col min="6147" max="6148" width="14.5703125" style="2425" customWidth="1"/>
    <col min="6149" max="6149" width="9" style="2425" customWidth="1"/>
    <col min="6150" max="6400" width="9.140625" style="2425"/>
    <col min="6401" max="6401" width="5.85546875" style="2425" customWidth="1"/>
    <col min="6402" max="6402" width="45.42578125" style="2425" customWidth="1"/>
    <col min="6403" max="6404" width="14.5703125" style="2425" customWidth="1"/>
    <col min="6405" max="6405" width="9" style="2425" customWidth="1"/>
    <col min="6406" max="6656" width="9.140625" style="2425"/>
    <col min="6657" max="6657" width="5.85546875" style="2425" customWidth="1"/>
    <col min="6658" max="6658" width="45.42578125" style="2425" customWidth="1"/>
    <col min="6659" max="6660" width="14.5703125" style="2425" customWidth="1"/>
    <col min="6661" max="6661" width="9" style="2425" customWidth="1"/>
    <col min="6662" max="6912" width="9.140625" style="2425"/>
    <col min="6913" max="6913" width="5.85546875" style="2425" customWidth="1"/>
    <col min="6914" max="6914" width="45.42578125" style="2425" customWidth="1"/>
    <col min="6915" max="6916" width="14.5703125" style="2425" customWidth="1"/>
    <col min="6917" max="6917" width="9" style="2425" customWidth="1"/>
    <col min="6918" max="7168" width="9.140625" style="2425"/>
    <col min="7169" max="7169" width="5.85546875" style="2425" customWidth="1"/>
    <col min="7170" max="7170" width="45.42578125" style="2425" customWidth="1"/>
    <col min="7171" max="7172" width="14.5703125" style="2425" customWidth="1"/>
    <col min="7173" max="7173" width="9" style="2425" customWidth="1"/>
    <col min="7174" max="7424" width="9.140625" style="2425"/>
    <col min="7425" max="7425" width="5.85546875" style="2425" customWidth="1"/>
    <col min="7426" max="7426" width="45.42578125" style="2425" customWidth="1"/>
    <col min="7427" max="7428" width="14.5703125" style="2425" customWidth="1"/>
    <col min="7429" max="7429" width="9" style="2425" customWidth="1"/>
    <col min="7430" max="7680" width="9.140625" style="2425"/>
    <col min="7681" max="7681" width="5.85546875" style="2425" customWidth="1"/>
    <col min="7682" max="7682" width="45.42578125" style="2425" customWidth="1"/>
    <col min="7683" max="7684" width="14.5703125" style="2425" customWidth="1"/>
    <col min="7685" max="7685" width="9" style="2425" customWidth="1"/>
    <col min="7686" max="7936" width="9.140625" style="2425"/>
    <col min="7937" max="7937" width="5.85546875" style="2425" customWidth="1"/>
    <col min="7938" max="7938" width="45.42578125" style="2425" customWidth="1"/>
    <col min="7939" max="7940" width="14.5703125" style="2425" customWidth="1"/>
    <col min="7941" max="7941" width="9" style="2425" customWidth="1"/>
    <col min="7942" max="8192" width="9.140625" style="2425"/>
    <col min="8193" max="8193" width="5.85546875" style="2425" customWidth="1"/>
    <col min="8194" max="8194" width="45.42578125" style="2425" customWidth="1"/>
    <col min="8195" max="8196" width="14.5703125" style="2425" customWidth="1"/>
    <col min="8197" max="8197" width="9" style="2425" customWidth="1"/>
    <col min="8198" max="8448" width="9.140625" style="2425"/>
    <col min="8449" max="8449" width="5.85546875" style="2425" customWidth="1"/>
    <col min="8450" max="8450" width="45.42578125" style="2425" customWidth="1"/>
    <col min="8451" max="8452" width="14.5703125" style="2425" customWidth="1"/>
    <col min="8453" max="8453" width="9" style="2425" customWidth="1"/>
    <col min="8454" max="8704" width="9.140625" style="2425"/>
    <col min="8705" max="8705" width="5.85546875" style="2425" customWidth="1"/>
    <col min="8706" max="8706" width="45.42578125" style="2425" customWidth="1"/>
    <col min="8707" max="8708" width="14.5703125" style="2425" customWidth="1"/>
    <col min="8709" max="8709" width="9" style="2425" customWidth="1"/>
    <col min="8710" max="8960" width="9.140625" style="2425"/>
    <col min="8961" max="8961" width="5.85546875" style="2425" customWidth="1"/>
    <col min="8962" max="8962" width="45.42578125" style="2425" customWidth="1"/>
    <col min="8963" max="8964" width="14.5703125" style="2425" customWidth="1"/>
    <col min="8965" max="8965" width="9" style="2425" customWidth="1"/>
    <col min="8966" max="9216" width="9.140625" style="2425"/>
    <col min="9217" max="9217" width="5.85546875" style="2425" customWidth="1"/>
    <col min="9218" max="9218" width="45.42578125" style="2425" customWidth="1"/>
    <col min="9219" max="9220" width="14.5703125" style="2425" customWidth="1"/>
    <col min="9221" max="9221" width="9" style="2425" customWidth="1"/>
    <col min="9222" max="9472" width="9.140625" style="2425"/>
    <col min="9473" max="9473" width="5.85546875" style="2425" customWidth="1"/>
    <col min="9474" max="9474" width="45.42578125" style="2425" customWidth="1"/>
    <col min="9475" max="9476" width="14.5703125" style="2425" customWidth="1"/>
    <col min="9477" max="9477" width="9" style="2425" customWidth="1"/>
    <col min="9478" max="9728" width="9.140625" style="2425"/>
    <col min="9729" max="9729" width="5.85546875" style="2425" customWidth="1"/>
    <col min="9730" max="9730" width="45.42578125" style="2425" customWidth="1"/>
    <col min="9731" max="9732" width="14.5703125" style="2425" customWidth="1"/>
    <col min="9733" max="9733" width="9" style="2425" customWidth="1"/>
    <col min="9734" max="9984" width="9.140625" style="2425"/>
    <col min="9985" max="9985" width="5.85546875" style="2425" customWidth="1"/>
    <col min="9986" max="9986" width="45.42578125" style="2425" customWidth="1"/>
    <col min="9987" max="9988" width="14.5703125" style="2425" customWidth="1"/>
    <col min="9989" max="9989" width="9" style="2425" customWidth="1"/>
    <col min="9990" max="10240" width="9.140625" style="2425"/>
    <col min="10241" max="10241" width="5.85546875" style="2425" customWidth="1"/>
    <col min="10242" max="10242" width="45.42578125" style="2425" customWidth="1"/>
    <col min="10243" max="10244" width="14.5703125" style="2425" customWidth="1"/>
    <col min="10245" max="10245" width="9" style="2425" customWidth="1"/>
    <col min="10246" max="10496" width="9.140625" style="2425"/>
    <col min="10497" max="10497" width="5.85546875" style="2425" customWidth="1"/>
    <col min="10498" max="10498" width="45.42578125" style="2425" customWidth="1"/>
    <col min="10499" max="10500" width="14.5703125" style="2425" customWidth="1"/>
    <col min="10501" max="10501" width="9" style="2425" customWidth="1"/>
    <col min="10502" max="10752" width="9.140625" style="2425"/>
    <col min="10753" max="10753" width="5.85546875" style="2425" customWidth="1"/>
    <col min="10754" max="10754" width="45.42578125" style="2425" customWidth="1"/>
    <col min="10755" max="10756" width="14.5703125" style="2425" customWidth="1"/>
    <col min="10757" max="10757" width="9" style="2425" customWidth="1"/>
    <col min="10758" max="11008" width="9.140625" style="2425"/>
    <col min="11009" max="11009" width="5.85546875" style="2425" customWidth="1"/>
    <col min="11010" max="11010" width="45.42578125" style="2425" customWidth="1"/>
    <col min="11011" max="11012" width="14.5703125" style="2425" customWidth="1"/>
    <col min="11013" max="11013" width="9" style="2425" customWidth="1"/>
    <col min="11014" max="11264" width="9.140625" style="2425"/>
    <col min="11265" max="11265" width="5.85546875" style="2425" customWidth="1"/>
    <col min="11266" max="11266" width="45.42578125" style="2425" customWidth="1"/>
    <col min="11267" max="11268" width="14.5703125" style="2425" customWidth="1"/>
    <col min="11269" max="11269" width="9" style="2425" customWidth="1"/>
    <col min="11270" max="11520" width="9.140625" style="2425"/>
    <col min="11521" max="11521" width="5.85546875" style="2425" customWidth="1"/>
    <col min="11522" max="11522" width="45.42578125" style="2425" customWidth="1"/>
    <col min="11523" max="11524" width="14.5703125" style="2425" customWidth="1"/>
    <col min="11525" max="11525" width="9" style="2425" customWidth="1"/>
    <col min="11526" max="11776" width="9.140625" style="2425"/>
    <col min="11777" max="11777" width="5.85546875" style="2425" customWidth="1"/>
    <col min="11778" max="11778" width="45.42578125" style="2425" customWidth="1"/>
    <col min="11779" max="11780" width="14.5703125" style="2425" customWidth="1"/>
    <col min="11781" max="11781" width="9" style="2425" customWidth="1"/>
    <col min="11782" max="12032" width="9.140625" style="2425"/>
    <col min="12033" max="12033" width="5.85546875" style="2425" customWidth="1"/>
    <col min="12034" max="12034" width="45.42578125" style="2425" customWidth="1"/>
    <col min="12035" max="12036" width="14.5703125" style="2425" customWidth="1"/>
    <col min="12037" max="12037" width="9" style="2425" customWidth="1"/>
    <col min="12038" max="12288" width="9.140625" style="2425"/>
    <col min="12289" max="12289" width="5.85546875" style="2425" customWidth="1"/>
    <col min="12290" max="12290" width="45.42578125" style="2425" customWidth="1"/>
    <col min="12291" max="12292" width="14.5703125" style="2425" customWidth="1"/>
    <col min="12293" max="12293" width="9" style="2425" customWidth="1"/>
    <col min="12294" max="12544" width="9.140625" style="2425"/>
    <col min="12545" max="12545" width="5.85546875" style="2425" customWidth="1"/>
    <col min="12546" max="12546" width="45.42578125" style="2425" customWidth="1"/>
    <col min="12547" max="12548" width="14.5703125" style="2425" customWidth="1"/>
    <col min="12549" max="12549" width="9" style="2425" customWidth="1"/>
    <col min="12550" max="12800" width="9.140625" style="2425"/>
    <col min="12801" max="12801" width="5.85546875" style="2425" customWidth="1"/>
    <col min="12802" max="12802" width="45.42578125" style="2425" customWidth="1"/>
    <col min="12803" max="12804" width="14.5703125" style="2425" customWidth="1"/>
    <col min="12805" max="12805" width="9" style="2425" customWidth="1"/>
    <col min="12806" max="13056" width="9.140625" style="2425"/>
    <col min="13057" max="13057" width="5.85546875" style="2425" customWidth="1"/>
    <col min="13058" max="13058" width="45.42578125" style="2425" customWidth="1"/>
    <col min="13059" max="13060" width="14.5703125" style="2425" customWidth="1"/>
    <col min="13061" max="13061" width="9" style="2425" customWidth="1"/>
    <col min="13062" max="13312" width="9.140625" style="2425"/>
    <col min="13313" max="13313" width="5.85546875" style="2425" customWidth="1"/>
    <col min="13314" max="13314" width="45.42578125" style="2425" customWidth="1"/>
    <col min="13315" max="13316" width="14.5703125" style="2425" customWidth="1"/>
    <col min="13317" max="13317" width="9" style="2425" customWidth="1"/>
    <col min="13318" max="13568" width="9.140625" style="2425"/>
    <col min="13569" max="13569" width="5.85546875" style="2425" customWidth="1"/>
    <col min="13570" max="13570" width="45.42578125" style="2425" customWidth="1"/>
    <col min="13571" max="13572" width="14.5703125" style="2425" customWidth="1"/>
    <col min="13573" max="13573" width="9" style="2425" customWidth="1"/>
    <col min="13574" max="13824" width="9.140625" style="2425"/>
    <col min="13825" max="13825" width="5.85546875" style="2425" customWidth="1"/>
    <col min="13826" max="13826" width="45.42578125" style="2425" customWidth="1"/>
    <col min="13827" max="13828" width="14.5703125" style="2425" customWidth="1"/>
    <col min="13829" max="13829" width="9" style="2425" customWidth="1"/>
    <col min="13830" max="14080" width="9.140625" style="2425"/>
    <col min="14081" max="14081" width="5.85546875" style="2425" customWidth="1"/>
    <col min="14082" max="14082" width="45.42578125" style="2425" customWidth="1"/>
    <col min="14083" max="14084" width="14.5703125" style="2425" customWidth="1"/>
    <col min="14085" max="14085" width="9" style="2425" customWidth="1"/>
    <col min="14086" max="14336" width="9.140625" style="2425"/>
    <col min="14337" max="14337" width="5.85546875" style="2425" customWidth="1"/>
    <col min="14338" max="14338" width="45.42578125" style="2425" customWidth="1"/>
    <col min="14339" max="14340" width="14.5703125" style="2425" customWidth="1"/>
    <col min="14341" max="14341" width="9" style="2425" customWidth="1"/>
    <col min="14342" max="14592" width="9.140625" style="2425"/>
    <col min="14593" max="14593" width="5.85546875" style="2425" customWidth="1"/>
    <col min="14594" max="14594" width="45.42578125" style="2425" customWidth="1"/>
    <col min="14595" max="14596" width="14.5703125" style="2425" customWidth="1"/>
    <col min="14597" max="14597" width="9" style="2425" customWidth="1"/>
    <col min="14598" max="14848" width="9.140625" style="2425"/>
    <col min="14849" max="14849" width="5.85546875" style="2425" customWidth="1"/>
    <col min="14850" max="14850" width="45.42578125" style="2425" customWidth="1"/>
    <col min="14851" max="14852" width="14.5703125" style="2425" customWidth="1"/>
    <col min="14853" max="14853" width="9" style="2425" customWidth="1"/>
    <col min="14854" max="15104" width="9.140625" style="2425"/>
    <col min="15105" max="15105" width="5.85546875" style="2425" customWidth="1"/>
    <col min="15106" max="15106" width="45.42578125" style="2425" customWidth="1"/>
    <col min="15107" max="15108" width="14.5703125" style="2425" customWidth="1"/>
    <col min="15109" max="15109" width="9" style="2425" customWidth="1"/>
    <col min="15110" max="15360" width="9.140625" style="2425"/>
    <col min="15361" max="15361" width="5.85546875" style="2425" customWidth="1"/>
    <col min="15362" max="15362" width="45.42578125" style="2425" customWidth="1"/>
    <col min="15363" max="15364" width="14.5703125" style="2425" customWidth="1"/>
    <col min="15365" max="15365" width="9" style="2425" customWidth="1"/>
    <col min="15366" max="15616" width="9.140625" style="2425"/>
    <col min="15617" max="15617" width="5.85546875" style="2425" customWidth="1"/>
    <col min="15618" max="15618" width="45.42578125" style="2425" customWidth="1"/>
    <col min="15619" max="15620" width="14.5703125" style="2425" customWidth="1"/>
    <col min="15621" max="15621" width="9" style="2425" customWidth="1"/>
    <col min="15622" max="15872" width="9.140625" style="2425"/>
    <col min="15873" max="15873" width="5.85546875" style="2425" customWidth="1"/>
    <col min="15874" max="15874" width="45.42578125" style="2425" customWidth="1"/>
    <col min="15875" max="15876" width="14.5703125" style="2425" customWidth="1"/>
    <col min="15877" max="15877" width="9" style="2425" customWidth="1"/>
    <col min="15878" max="16128" width="9.140625" style="2425"/>
    <col min="16129" max="16129" width="5.85546875" style="2425" customWidth="1"/>
    <col min="16130" max="16130" width="45.42578125" style="2425" customWidth="1"/>
    <col min="16131" max="16132" width="14.5703125" style="2425" customWidth="1"/>
    <col min="16133" max="16133" width="9" style="2425" customWidth="1"/>
    <col min="16134" max="16384" width="9.140625" style="2425"/>
  </cols>
  <sheetData>
    <row r="1" spans="1:5" ht="76.5" customHeight="1">
      <c r="A1" s="2424"/>
      <c r="B1" s="3553" t="s">
        <v>1236</v>
      </c>
      <c r="C1" s="3553"/>
      <c r="D1" s="3553"/>
    </row>
    <row r="2" spans="1:5" ht="63" customHeight="1" thickBot="1">
      <c r="A2" s="3554" t="s">
        <v>1045</v>
      </c>
      <c r="B2" s="3554"/>
      <c r="C2" s="3554"/>
      <c r="D2" s="3554"/>
    </row>
    <row r="3" spans="1:5" ht="22.5" customHeight="1" thickBot="1">
      <c r="A3" s="2426" t="s">
        <v>6</v>
      </c>
      <c r="B3" s="2427" t="s">
        <v>1046</v>
      </c>
      <c r="C3" s="2426" t="s">
        <v>1047</v>
      </c>
      <c r="D3" s="2428" t="s">
        <v>1048</v>
      </c>
    </row>
    <row r="4" spans="1:5" ht="15" customHeight="1" thickBot="1">
      <c r="A4" s="3549" t="s">
        <v>1049</v>
      </c>
      <c r="B4" s="3550"/>
      <c r="C4" s="2429">
        <f>SUM(C5:C6)</f>
        <v>3020</v>
      </c>
      <c r="D4" s="2430">
        <f>SUM(D5:D6)</f>
        <v>3020</v>
      </c>
    </row>
    <row r="5" spans="1:5" ht="26.25" customHeight="1">
      <c r="A5" s="2431">
        <v>1</v>
      </c>
      <c r="B5" s="2432" t="s">
        <v>1050</v>
      </c>
      <c r="C5" s="2433">
        <v>20</v>
      </c>
      <c r="D5" s="2434">
        <v>20</v>
      </c>
      <c r="E5" s="2435"/>
    </row>
    <row r="6" spans="1:5" ht="15" customHeight="1" thickBot="1">
      <c r="A6" s="2436">
        <v>2</v>
      </c>
      <c r="B6" s="2437" t="s">
        <v>1051</v>
      </c>
      <c r="C6" s="2438">
        <v>3000</v>
      </c>
      <c r="D6" s="2439">
        <v>3000</v>
      </c>
      <c r="E6" s="2435"/>
    </row>
    <row r="7" spans="1:5" ht="15" customHeight="1" thickBot="1">
      <c r="A7" s="3549" t="s">
        <v>1052</v>
      </c>
      <c r="B7" s="3550"/>
      <c r="C7" s="2440">
        <f>SUM(C8:C14)</f>
        <v>321577</v>
      </c>
      <c r="D7" s="2441">
        <f>SUM(D8:D14)</f>
        <v>321577</v>
      </c>
      <c r="E7" s="2435"/>
    </row>
    <row r="8" spans="1:5" ht="27" customHeight="1">
      <c r="A8" s="2442">
        <v>1</v>
      </c>
      <c r="B8" s="2443" t="s">
        <v>1053</v>
      </c>
      <c r="C8" s="2444">
        <v>64000</v>
      </c>
      <c r="D8" s="2445">
        <v>64000</v>
      </c>
      <c r="E8" s="2435"/>
    </row>
    <row r="9" spans="1:5" ht="27" customHeight="1">
      <c r="A9" s="2446">
        <v>2</v>
      </c>
      <c r="B9" s="2447" t="s">
        <v>1054</v>
      </c>
      <c r="C9" s="2448">
        <v>22034</v>
      </c>
      <c r="D9" s="2449">
        <v>22034</v>
      </c>
      <c r="E9" s="2435"/>
    </row>
    <row r="10" spans="1:5" ht="27" customHeight="1">
      <c r="A10" s="2446">
        <v>3</v>
      </c>
      <c r="B10" s="2447" t="s">
        <v>1055</v>
      </c>
      <c r="C10" s="2448">
        <v>1000</v>
      </c>
      <c r="D10" s="2449">
        <v>1000</v>
      </c>
      <c r="E10" s="2435"/>
    </row>
    <row r="11" spans="1:5" ht="27" customHeight="1">
      <c r="A11" s="2446">
        <v>4</v>
      </c>
      <c r="B11" s="2447" t="s">
        <v>1056</v>
      </c>
      <c r="C11" s="2448">
        <v>7300</v>
      </c>
      <c r="D11" s="2449">
        <v>7300</v>
      </c>
      <c r="E11" s="2435"/>
    </row>
    <row r="12" spans="1:5" ht="27" customHeight="1">
      <c r="A12" s="2446">
        <v>5</v>
      </c>
      <c r="B12" s="2447" t="s">
        <v>1057</v>
      </c>
      <c r="C12" s="2448">
        <v>51900</v>
      </c>
      <c r="D12" s="2449">
        <v>51900</v>
      </c>
      <c r="E12" s="2435"/>
    </row>
    <row r="13" spans="1:5" ht="27" customHeight="1">
      <c r="A13" s="2446">
        <v>6</v>
      </c>
      <c r="B13" s="2447" t="s">
        <v>1058</v>
      </c>
      <c r="C13" s="2448">
        <v>3500</v>
      </c>
      <c r="D13" s="2449">
        <v>3500</v>
      </c>
      <c r="E13" s="2435"/>
    </row>
    <row r="14" spans="1:5" s="2452" customFormat="1" ht="27.75" customHeight="1" thickBot="1">
      <c r="A14" s="2436">
        <v>7</v>
      </c>
      <c r="B14" s="2450" t="s">
        <v>1059</v>
      </c>
      <c r="C14" s="2438">
        <v>171843</v>
      </c>
      <c r="D14" s="2439">
        <v>171843</v>
      </c>
      <c r="E14" s="2451"/>
    </row>
    <row r="15" spans="1:5" ht="15" customHeight="1" thickBot="1">
      <c r="A15" s="3549" t="s">
        <v>1060</v>
      </c>
      <c r="B15" s="3550"/>
      <c r="C15" s="2440">
        <f>SUM(C16)</f>
        <v>2300000</v>
      </c>
      <c r="D15" s="2441">
        <f>SUM(D16)</f>
        <v>2300000</v>
      </c>
      <c r="E15" s="2435"/>
    </row>
    <row r="16" spans="1:5" ht="15" customHeight="1" thickBot="1">
      <c r="A16" s="2453">
        <v>1</v>
      </c>
      <c r="B16" s="2454" t="s">
        <v>1061</v>
      </c>
      <c r="C16" s="2433">
        <v>2300000</v>
      </c>
      <c r="D16" s="2434">
        <v>2300000</v>
      </c>
      <c r="E16" s="2451"/>
    </row>
    <row r="17" spans="1:5" ht="15" customHeight="1" thickBot="1">
      <c r="A17" s="3549" t="s">
        <v>1062</v>
      </c>
      <c r="B17" s="3550"/>
      <c r="C17" s="2440">
        <f>SUM(C18:C21)</f>
        <v>305400</v>
      </c>
      <c r="D17" s="2441">
        <f>SUM(D18:D21)</f>
        <v>305400</v>
      </c>
      <c r="E17" s="2435"/>
    </row>
    <row r="18" spans="1:5" ht="15" customHeight="1">
      <c r="A18" s="2442">
        <v>1</v>
      </c>
      <c r="B18" s="2455" t="s">
        <v>1063</v>
      </c>
      <c r="C18" s="2444">
        <v>71000</v>
      </c>
      <c r="D18" s="2445">
        <v>71000</v>
      </c>
      <c r="E18" s="2435"/>
    </row>
    <row r="19" spans="1:5" s="2452" customFormat="1" ht="15" customHeight="1">
      <c r="A19" s="2446">
        <v>2</v>
      </c>
      <c r="B19" s="2456" t="s">
        <v>1064</v>
      </c>
      <c r="C19" s="2448">
        <v>30300</v>
      </c>
      <c r="D19" s="2449">
        <v>30300</v>
      </c>
      <c r="E19" s="2457"/>
    </row>
    <row r="20" spans="1:5" ht="15" customHeight="1">
      <c r="A20" s="2446">
        <v>3</v>
      </c>
      <c r="B20" s="2456" t="s">
        <v>1065</v>
      </c>
      <c r="C20" s="2448">
        <v>170000</v>
      </c>
      <c r="D20" s="2449">
        <v>170000</v>
      </c>
      <c r="E20" s="2435"/>
    </row>
    <row r="21" spans="1:5" ht="15" customHeight="1" thickBot="1">
      <c r="A21" s="2436">
        <v>4</v>
      </c>
      <c r="B21" s="2458" t="s">
        <v>1066</v>
      </c>
      <c r="C21" s="2438">
        <v>34100</v>
      </c>
      <c r="D21" s="2439">
        <v>34100</v>
      </c>
      <c r="E21" s="2435"/>
    </row>
    <row r="22" spans="1:5" ht="15" customHeight="1" thickBot="1">
      <c r="A22" s="3549" t="s">
        <v>1067</v>
      </c>
      <c r="B22" s="3550"/>
      <c r="C22" s="2440">
        <f>SUM(C23:C23)</f>
        <v>208000</v>
      </c>
      <c r="D22" s="2441">
        <f>SUM(D23:D23)</f>
        <v>208000</v>
      </c>
      <c r="E22" s="2435"/>
    </row>
    <row r="23" spans="1:5" ht="29.25" customHeight="1" thickBot="1">
      <c r="A23" s="2459">
        <v>1</v>
      </c>
      <c r="B23" s="2460" t="s">
        <v>1068</v>
      </c>
      <c r="C23" s="2433">
        <v>208000</v>
      </c>
      <c r="D23" s="2434">
        <v>208000</v>
      </c>
      <c r="E23" s="2435"/>
    </row>
    <row r="24" spans="1:5" ht="24" customHeight="1" thickBot="1">
      <c r="A24" s="3551" t="s">
        <v>1069</v>
      </c>
      <c r="B24" s="3552"/>
      <c r="C24" s="2461">
        <f>SUM(C4,C7,C15,C17,C22)</f>
        <v>3137997</v>
      </c>
      <c r="D24" s="2461">
        <f>SUM(D4,D7,D15,D17,D22)</f>
        <v>3137997</v>
      </c>
      <c r="E24" s="2435"/>
    </row>
    <row r="25" spans="1:5" ht="12.75" customHeight="1">
      <c r="A25" s="2462"/>
      <c r="B25" s="2462"/>
      <c r="C25" s="2463"/>
      <c r="D25" s="2463"/>
    </row>
    <row r="27" spans="1:5">
      <c r="A27" s="2464"/>
      <c r="B27" s="2465"/>
      <c r="C27" s="2466"/>
      <c r="D27" s="2466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J2100"/>
  <sheetViews>
    <sheetView showGridLines="0" view="pageBreakPreview" zoomScale="85" zoomScaleNormal="110" zoomScaleSheetLayoutView="85" workbookViewId="0">
      <selection activeCell="K10" sqref="K10"/>
    </sheetView>
  </sheetViews>
  <sheetFormatPr defaultRowHeight="12.75"/>
  <cols>
    <col min="1" max="1" width="7" style="825" customWidth="1"/>
    <col min="2" max="2" width="8" style="825" customWidth="1"/>
    <col min="3" max="3" width="10.5703125" style="825" customWidth="1"/>
    <col min="4" max="4" width="60.140625" style="825" customWidth="1"/>
    <col min="5" max="5" width="14.28515625" style="825" hidden="1" customWidth="1"/>
    <col min="6" max="6" width="20.28515625" style="825" customWidth="1"/>
    <col min="7" max="7" width="1.140625" style="827" hidden="1" customWidth="1"/>
    <col min="8" max="8" width="15.5703125" style="828" bestFit="1" customWidth="1"/>
    <col min="9" max="9" width="13.85546875" style="825" customWidth="1"/>
    <col min="10" max="10" width="11.140625" style="825" customWidth="1"/>
    <col min="11" max="16384" width="9.140625" style="825"/>
  </cols>
  <sheetData>
    <row r="1" spans="1:8" ht="70.5" customHeight="1">
      <c r="F1" s="826" t="s">
        <v>1223</v>
      </c>
    </row>
    <row r="2" spans="1:8" ht="5.25" hidden="1" customHeight="1"/>
    <row r="3" spans="1:8" hidden="1"/>
    <row r="4" spans="1:8" ht="18.75" customHeight="1">
      <c r="A4" s="3104" t="s">
        <v>515</v>
      </c>
      <c r="B4" s="3104"/>
      <c r="C4" s="3104"/>
      <c r="D4" s="3104"/>
      <c r="E4" s="3104"/>
      <c r="F4" s="3104"/>
      <c r="G4" s="3104"/>
    </row>
    <row r="5" spans="1:8" ht="13.5" customHeight="1">
      <c r="A5" s="3104"/>
      <c r="B5" s="3104"/>
      <c r="C5" s="3104"/>
      <c r="D5" s="3104"/>
      <c r="E5" s="3104"/>
      <c r="F5" s="3104"/>
      <c r="G5" s="3104"/>
    </row>
    <row r="6" spans="1:8" ht="7.5" customHeight="1">
      <c r="A6" s="3104"/>
      <c r="B6" s="3104"/>
      <c r="C6" s="3104"/>
      <c r="D6" s="3104"/>
      <c r="E6" s="3104"/>
      <c r="F6" s="3104"/>
      <c r="G6" s="3104"/>
    </row>
    <row r="7" spans="1:8" ht="9" customHeight="1">
      <c r="A7" s="3104"/>
      <c r="B7" s="3104"/>
      <c r="C7" s="3104"/>
      <c r="D7" s="3104"/>
      <c r="E7" s="3104"/>
      <c r="F7" s="3104"/>
      <c r="G7" s="3104"/>
    </row>
    <row r="8" spans="1:8" s="829" customFormat="1" ht="10.5" customHeight="1" thickBot="1">
      <c r="A8" s="3105"/>
      <c r="B8" s="3105"/>
      <c r="C8" s="3105"/>
      <c r="D8" s="3105"/>
      <c r="G8" s="830"/>
      <c r="H8" s="831"/>
    </row>
    <row r="9" spans="1:8" ht="43.5" customHeight="1" thickBot="1">
      <c r="A9" s="832" t="s">
        <v>0</v>
      </c>
      <c r="B9" s="833" t="s">
        <v>1</v>
      </c>
      <c r="C9" s="834" t="s">
        <v>3</v>
      </c>
      <c r="D9" s="833" t="s">
        <v>516</v>
      </c>
      <c r="E9" s="835" t="s">
        <v>517</v>
      </c>
      <c r="F9" s="835" t="s">
        <v>220</v>
      </c>
      <c r="G9" s="836" t="s">
        <v>518</v>
      </c>
    </row>
    <row r="10" spans="1:8" ht="17.100000000000001" customHeight="1" thickBot="1">
      <c r="A10" s="837" t="s">
        <v>222</v>
      </c>
      <c r="B10" s="838" t="s">
        <v>223</v>
      </c>
      <c r="C10" s="839" t="s">
        <v>224</v>
      </c>
      <c r="D10" s="837" t="s">
        <v>225</v>
      </c>
      <c r="E10" s="840" t="s">
        <v>226</v>
      </c>
      <c r="F10" s="840" t="s">
        <v>226</v>
      </c>
      <c r="G10" s="841" t="s">
        <v>227</v>
      </c>
    </row>
    <row r="11" spans="1:8" ht="17.100000000000001" customHeight="1" thickBot="1">
      <c r="A11" s="842" t="s">
        <v>57</v>
      </c>
      <c r="B11" s="843"/>
      <c r="C11" s="844"/>
      <c r="D11" s="845" t="s">
        <v>519</v>
      </c>
      <c r="E11" s="846">
        <f>SUM(E12,E48,E73,E103,E136,E156,E152)</f>
        <v>35064707</v>
      </c>
      <c r="F11" s="846">
        <f t="shared" ref="F11" si="0">SUM(F12,F48,F73,F103,F136,F156,F152)</f>
        <v>32021509</v>
      </c>
      <c r="G11" s="847">
        <f>F11/E11</f>
        <v>0.91321193700549097</v>
      </c>
    </row>
    <row r="12" spans="1:8" ht="17.100000000000001" customHeight="1" thickBot="1">
      <c r="A12" s="848"/>
      <c r="B12" s="849" t="s">
        <v>229</v>
      </c>
      <c r="C12" s="850"/>
      <c r="D12" s="851" t="s">
        <v>520</v>
      </c>
      <c r="E12" s="852">
        <f>E13+E45</f>
        <v>11120356</v>
      </c>
      <c r="F12" s="852">
        <f t="shared" ref="F12" si="1">F13+F45</f>
        <v>11386563</v>
      </c>
      <c r="G12" s="853">
        <f t="shared" ref="G12:G75" si="2">F12/E12</f>
        <v>1.0239387120340393</v>
      </c>
    </row>
    <row r="13" spans="1:8" ht="17.100000000000001" customHeight="1">
      <c r="A13" s="848"/>
      <c r="B13" s="2806"/>
      <c r="C13" s="2802" t="s">
        <v>521</v>
      </c>
      <c r="D13" s="2802"/>
      <c r="E13" s="854">
        <f>E14+E42</f>
        <v>11060356</v>
      </c>
      <c r="F13" s="854">
        <f>F14+F42</f>
        <v>11326563</v>
      </c>
      <c r="G13" s="855">
        <f t="shared" si="2"/>
        <v>1.024068574284589</v>
      </c>
    </row>
    <row r="14" spans="1:8" ht="17.100000000000001" customHeight="1">
      <c r="A14" s="848"/>
      <c r="B14" s="2806"/>
      <c r="C14" s="3106" t="s">
        <v>522</v>
      </c>
      <c r="D14" s="3106"/>
      <c r="E14" s="856">
        <f>E15+E22</f>
        <v>10991356</v>
      </c>
      <c r="F14" s="856">
        <f>F15+F22</f>
        <v>11219418</v>
      </c>
      <c r="G14" s="857">
        <f t="shared" si="2"/>
        <v>1.0207492142006864</v>
      </c>
    </row>
    <row r="15" spans="1:8" ht="17.100000000000001" customHeight="1">
      <c r="A15" s="848"/>
      <c r="B15" s="2806"/>
      <c r="C15" s="3107" t="s">
        <v>523</v>
      </c>
      <c r="D15" s="3107"/>
      <c r="E15" s="858">
        <f>SUM(E16:E20)</f>
        <v>9185356</v>
      </c>
      <c r="F15" s="858">
        <f>SUM(F16:F20)</f>
        <v>9132667</v>
      </c>
      <c r="G15" s="859">
        <f t="shared" si="2"/>
        <v>0.99426380425538219</v>
      </c>
    </row>
    <row r="16" spans="1:8" ht="17.100000000000001" customHeight="1">
      <c r="A16" s="848"/>
      <c r="B16" s="860"/>
      <c r="C16" s="861" t="s">
        <v>524</v>
      </c>
      <c r="D16" s="862" t="s">
        <v>525</v>
      </c>
      <c r="E16" s="863">
        <v>7175640</v>
      </c>
      <c r="F16" s="863">
        <v>7043219</v>
      </c>
      <c r="G16" s="864">
        <f t="shared" si="2"/>
        <v>0.98154575759096052</v>
      </c>
    </row>
    <row r="17" spans="1:7" ht="17.100000000000001" customHeight="1">
      <c r="A17" s="848"/>
      <c r="B17" s="860"/>
      <c r="C17" s="865" t="s">
        <v>526</v>
      </c>
      <c r="D17" s="866" t="s">
        <v>527</v>
      </c>
      <c r="E17" s="867">
        <v>473260</v>
      </c>
      <c r="F17" s="867">
        <v>541200</v>
      </c>
      <c r="G17" s="868">
        <f t="shared" si="2"/>
        <v>1.1435574525630732</v>
      </c>
    </row>
    <row r="18" spans="1:7" ht="17.100000000000001" customHeight="1">
      <c r="A18" s="848"/>
      <c r="B18" s="860"/>
      <c r="C18" s="869" t="s">
        <v>528</v>
      </c>
      <c r="D18" s="870" t="s">
        <v>529</v>
      </c>
      <c r="E18" s="871">
        <v>1270456</v>
      </c>
      <c r="F18" s="871">
        <v>1305908</v>
      </c>
      <c r="G18" s="872">
        <f t="shared" si="2"/>
        <v>1.0279049412179564</v>
      </c>
    </row>
    <row r="19" spans="1:7" ht="17.100000000000001" customHeight="1">
      <c r="A19" s="848"/>
      <c r="B19" s="860"/>
      <c r="C19" s="873" t="s">
        <v>530</v>
      </c>
      <c r="D19" s="874" t="s">
        <v>531</v>
      </c>
      <c r="E19" s="875">
        <v>134200</v>
      </c>
      <c r="F19" s="875">
        <v>139287</v>
      </c>
      <c r="G19" s="876">
        <f t="shared" si="2"/>
        <v>1.0379061102831595</v>
      </c>
    </row>
    <row r="20" spans="1:7" ht="17.100000000000001" customHeight="1">
      <c r="A20" s="848"/>
      <c r="B20" s="860"/>
      <c r="C20" s="877" t="s">
        <v>532</v>
      </c>
      <c r="D20" s="878" t="s">
        <v>533</v>
      </c>
      <c r="E20" s="879">
        <v>131800</v>
      </c>
      <c r="F20" s="879">
        <v>103053</v>
      </c>
      <c r="G20" s="880">
        <f t="shared" si="2"/>
        <v>0.78188922610015177</v>
      </c>
    </row>
    <row r="21" spans="1:7" ht="17.100000000000001" customHeight="1">
      <c r="A21" s="848"/>
      <c r="B21" s="860"/>
      <c r="C21" s="881"/>
      <c r="D21" s="881"/>
      <c r="E21" s="882"/>
      <c r="F21" s="882"/>
      <c r="G21" s="883"/>
    </row>
    <row r="22" spans="1:7" ht="17.100000000000001" customHeight="1">
      <c r="A22" s="848"/>
      <c r="B22" s="860"/>
      <c r="C22" s="3097" t="s">
        <v>534</v>
      </c>
      <c r="D22" s="3097"/>
      <c r="E22" s="884">
        <f>SUM(E23:E40)</f>
        <v>1806000</v>
      </c>
      <c r="F22" s="884">
        <f>SUM(F23:F40)</f>
        <v>2086751</v>
      </c>
      <c r="G22" s="885">
        <f t="shared" si="2"/>
        <v>1.155454595791805</v>
      </c>
    </row>
    <row r="23" spans="1:7" ht="17.100000000000001" customHeight="1">
      <c r="A23" s="848"/>
      <c r="B23" s="860"/>
      <c r="C23" s="886" t="s">
        <v>535</v>
      </c>
      <c r="D23" s="887" t="s">
        <v>536</v>
      </c>
      <c r="E23" s="888">
        <v>94000</v>
      </c>
      <c r="F23" s="888">
        <v>110000</v>
      </c>
      <c r="G23" s="889">
        <f t="shared" si="2"/>
        <v>1.1702127659574468</v>
      </c>
    </row>
    <row r="24" spans="1:7" ht="17.100000000000001" customHeight="1">
      <c r="A24" s="848"/>
      <c r="B24" s="860"/>
      <c r="C24" s="890" t="s">
        <v>537</v>
      </c>
      <c r="D24" s="891" t="s">
        <v>538</v>
      </c>
      <c r="E24" s="892">
        <v>658500</v>
      </c>
      <c r="F24" s="892">
        <v>896907</v>
      </c>
      <c r="G24" s="893">
        <f t="shared" si="2"/>
        <v>1.3620455580865605</v>
      </c>
    </row>
    <row r="25" spans="1:7" ht="17.100000000000001" customHeight="1">
      <c r="A25" s="848"/>
      <c r="B25" s="860"/>
      <c r="C25" s="894" t="s">
        <v>539</v>
      </c>
      <c r="D25" s="895" t="s">
        <v>540</v>
      </c>
      <c r="E25" s="896">
        <v>3600</v>
      </c>
      <c r="F25" s="896">
        <v>4000</v>
      </c>
      <c r="G25" s="897">
        <f t="shared" si="2"/>
        <v>1.1111111111111112</v>
      </c>
    </row>
    <row r="26" spans="1:7" ht="17.100000000000001" customHeight="1">
      <c r="A26" s="848"/>
      <c r="B26" s="860"/>
      <c r="C26" s="898" t="s">
        <v>541</v>
      </c>
      <c r="D26" s="899" t="s">
        <v>542</v>
      </c>
      <c r="E26" s="900">
        <v>140000</v>
      </c>
      <c r="F26" s="900">
        <v>114035</v>
      </c>
      <c r="G26" s="901">
        <f t="shared" si="2"/>
        <v>0.81453571428571425</v>
      </c>
    </row>
    <row r="27" spans="1:7" ht="17.100000000000001" customHeight="1">
      <c r="A27" s="848"/>
      <c r="B27" s="860"/>
      <c r="C27" s="902" t="s">
        <v>543</v>
      </c>
      <c r="D27" s="903" t="s">
        <v>544</v>
      </c>
      <c r="E27" s="904">
        <v>83000</v>
      </c>
      <c r="F27" s="904">
        <v>104072</v>
      </c>
      <c r="G27" s="905">
        <f t="shared" si="2"/>
        <v>1.2538795180722893</v>
      </c>
    </row>
    <row r="28" spans="1:7" ht="17.100000000000001" customHeight="1">
      <c r="A28" s="848"/>
      <c r="B28" s="860"/>
      <c r="C28" s="906" t="s">
        <v>545</v>
      </c>
      <c r="D28" s="907" t="s">
        <v>546</v>
      </c>
      <c r="E28" s="908">
        <v>9000</v>
      </c>
      <c r="F28" s="908">
        <v>9500</v>
      </c>
      <c r="G28" s="909">
        <f t="shared" si="2"/>
        <v>1.0555555555555556</v>
      </c>
    </row>
    <row r="29" spans="1:7" ht="17.100000000000001" customHeight="1">
      <c r="A29" s="848"/>
      <c r="B29" s="860"/>
      <c r="C29" s="910" t="s">
        <v>547</v>
      </c>
      <c r="D29" s="911" t="s">
        <v>548</v>
      </c>
      <c r="E29" s="912">
        <v>297888</v>
      </c>
      <c r="F29" s="912">
        <v>302392</v>
      </c>
      <c r="G29" s="913">
        <f t="shared" si="2"/>
        <v>1.0151197765603179</v>
      </c>
    </row>
    <row r="30" spans="1:7" ht="16.5" customHeight="1">
      <c r="A30" s="848"/>
      <c r="B30" s="860"/>
      <c r="C30" s="914" t="s">
        <v>549</v>
      </c>
      <c r="D30" s="915" t="s">
        <v>550</v>
      </c>
      <c r="E30" s="916">
        <v>36380</v>
      </c>
      <c r="F30" s="916">
        <v>40380</v>
      </c>
      <c r="G30" s="917">
        <f t="shared" si="2"/>
        <v>1.1099505222649808</v>
      </c>
    </row>
    <row r="31" spans="1:7" ht="16.5" customHeight="1">
      <c r="A31" s="848"/>
      <c r="B31" s="860"/>
      <c r="C31" s="918" t="s">
        <v>551</v>
      </c>
      <c r="D31" s="919" t="s">
        <v>552</v>
      </c>
      <c r="E31" s="920">
        <v>15000</v>
      </c>
      <c r="F31" s="920">
        <v>27000</v>
      </c>
      <c r="G31" s="921">
        <f t="shared" si="2"/>
        <v>1.8</v>
      </c>
    </row>
    <row r="32" spans="1:7" ht="27.75" customHeight="1">
      <c r="A32" s="848"/>
      <c r="B32" s="860"/>
      <c r="C32" s="922" t="s">
        <v>553</v>
      </c>
      <c r="D32" s="923" t="s">
        <v>554</v>
      </c>
      <c r="E32" s="924">
        <v>235830</v>
      </c>
      <c r="F32" s="924">
        <v>203678</v>
      </c>
      <c r="G32" s="925">
        <f t="shared" si="2"/>
        <v>0.86366450409193063</v>
      </c>
    </row>
    <row r="33" spans="1:7" ht="17.100000000000001" customHeight="1">
      <c r="A33" s="848"/>
      <c r="B33" s="860"/>
      <c r="C33" s="926" t="s">
        <v>555</v>
      </c>
      <c r="D33" s="927" t="s">
        <v>556</v>
      </c>
      <c r="E33" s="928">
        <v>20000</v>
      </c>
      <c r="F33" s="928">
        <v>20000</v>
      </c>
      <c r="G33" s="929">
        <f t="shared" si="2"/>
        <v>1</v>
      </c>
    </row>
    <row r="34" spans="1:7" ht="17.100000000000001" customHeight="1">
      <c r="A34" s="848"/>
      <c r="B34" s="860"/>
      <c r="C34" s="930" t="s">
        <v>557</v>
      </c>
      <c r="D34" s="931" t="s">
        <v>558</v>
      </c>
      <c r="E34" s="932">
        <v>54900</v>
      </c>
      <c r="F34" s="932">
        <v>85806</v>
      </c>
      <c r="G34" s="933">
        <f t="shared" si="2"/>
        <v>1.5629508196721311</v>
      </c>
    </row>
    <row r="35" spans="1:7" ht="17.100000000000001" customHeight="1">
      <c r="A35" s="848"/>
      <c r="B35" s="860"/>
      <c r="C35" s="934" t="s">
        <v>559</v>
      </c>
      <c r="D35" s="935" t="s">
        <v>560</v>
      </c>
      <c r="E35" s="936">
        <v>133743</v>
      </c>
      <c r="F35" s="936">
        <v>137537</v>
      </c>
      <c r="G35" s="937">
        <f t="shared" si="2"/>
        <v>1.0283678398121772</v>
      </c>
    </row>
    <row r="36" spans="1:7" ht="17.100000000000001" customHeight="1">
      <c r="A36" s="848"/>
      <c r="B36" s="860"/>
      <c r="C36" s="938" t="s">
        <v>561</v>
      </c>
      <c r="D36" s="939" t="s">
        <v>562</v>
      </c>
      <c r="E36" s="940">
        <v>6722</v>
      </c>
      <c r="F36" s="940">
        <v>7213</v>
      </c>
      <c r="G36" s="941">
        <f t="shared" si="2"/>
        <v>1.0730437369830408</v>
      </c>
    </row>
    <row r="37" spans="1:7" ht="17.100000000000001" customHeight="1">
      <c r="A37" s="848"/>
      <c r="B37" s="860"/>
      <c r="C37" s="942" t="s">
        <v>563</v>
      </c>
      <c r="D37" s="943" t="s">
        <v>564</v>
      </c>
      <c r="E37" s="944">
        <v>2000</v>
      </c>
      <c r="F37" s="944">
        <v>2500</v>
      </c>
      <c r="G37" s="945">
        <f t="shared" si="2"/>
        <v>1.25</v>
      </c>
    </row>
    <row r="38" spans="1:7" ht="17.100000000000001" customHeight="1">
      <c r="A38" s="848"/>
      <c r="B38" s="860"/>
      <c r="C38" s="946" t="s">
        <v>565</v>
      </c>
      <c r="D38" s="947" t="s">
        <v>566</v>
      </c>
      <c r="E38" s="948">
        <v>3437</v>
      </c>
      <c r="F38" s="948">
        <v>3731</v>
      </c>
      <c r="G38" s="949">
        <f t="shared" si="2"/>
        <v>1.0855397148676171</v>
      </c>
    </row>
    <row r="39" spans="1:7" ht="17.100000000000001" hidden="1" customHeight="1">
      <c r="A39" s="848"/>
      <c r="B39" s="860"/>
      <c r="C39" s="950" t="s">
        <v>567</v>
      </c>
      <c r="D39" s="951" t="s">
        <v>568</v>
      </c>
      <c r="E39" s="952">
        <v>1000</v>
      </c>
      <c r="F39" s="952">
        <v>0</v>
      </c>
      <c r="G39" s="953">
        <f t="shared" si="2"/>
        <v>0</v>
      </c>
    </row>
    <row r="40" spans="1:7" ht="17.100000000000001" customHeight="1">
      <c r="A40" s="848"/>
      <c r="B40" s="860"/>
      <c r="C40" s="954" t="s">
        <v>569</v>
      </c>
      <c r="D40" s="955" t="s">
        <v>570</v>
      </c>
      <c r="E40" s="956">
        <v>11000</v>
      </c>
      <c r="F40" s="956">
        <v>18000</v>
      </c>
      <c r="G40" s="957">
        <f t="shared" si="2"/>
        <v>1.6363636363636365</v>
      </c>
    </row>
    <row r="41" spans="1:7" ht="17.100000000000001" customHeight="1">
      <c r="A41" s="848"/>
      <c r="B41" s="860"/>
      <c r="C41" s="3098"/>
      <c r="D41" s="3098"/>
      <c r="E41" s="882"/>
      <c r="F41" s="882"/>
      <c r="G41" s="883"/>
    </row>
    <row r="42" spans="1:7" ht="17.100000000000001" customHeight="1">
      <c r="A42" s="848"/>
      <c r="B42" s="860"/>
      <c r="C42" s="3050" t="s">
        <v>571</v>
      </c>
      <c r="D42" s="3050"/>
      <c r="E42" s="958">
        <f t="shared" ref="E42:F42" si="3">E43</f>
        <v>69000</v>
      </c>
      <c r="F42" s="958">
        <f t="shared" si="3"/>
        <v>107145</v>
      </c>
      <c r="G42" s="959">
        <f t="shared" si="2"/>
        <v>1.5528260869565218</v>
      </c>
    </row>
    <row r="43" spans="1:7" ht="17.100000000000001" customHeight="1">
      <c r="A43" s="848"/>
      <c r="B43" s="860"/>
      <c r="C43" s="960" t="s">
        <v>572</v>
      </c>
      <c r="D43" s="961" t="s">
        <v>573</v>
      </c>
      <c r="E43" s="958">
        <v>69000</v>
      </c>
      <c r="F43" s="958">
        <v>107145</v>
      </c>
      <c r="G43" s="959">
        <f t="shared" si="2"/>
        <v>1.5528260869565218</v>
      </c>
    </row>
    <row r="44" spans="1:7" ht="17.100000000000001" customHeight="1">
      <c r="A44" s="848"/>
      <c r="B44" s="860"/>
      <c r="C44" s="3099"/>
      <c r="D44" s="3100"/>
      <c r="E44" s="962"/>
      <c r="F44" s="962"/>
      <c r="G44" s="963"/>
    </row>
    <row r="45" spans="1:7" ht="17.100000000000001" customHeight="1">
      <c r="A45" s="848"/>
      <c r="B45" s="860"/>
      <c r="C45" s="3101" t="s">
        <v>574</v>
      </c>
      <c r="D45" s="3102"/>
      <c r="E45" s="964">
        <f t="shared" ref="E45:F45" si="4">E46</f>
        <v>60000</v>
      </c>
      <c r="F45" s="964">
        <f t="shared" si="4"/>
        <v>60000</v>
      </c>
      <c r="G45" s="965">
        <f t="shared" si="2"/>
        <v>1</v>
      </c>
    </row>
    <row r="46" spans="1:7" ht="17.100000000000001" customHeight="1">
      <c r="A46" s="848"/>
      <c r="B46" s="860"/>
      <c r="C46" s="3103" t="s">
        <v>575</v>
      </c>
      <c r="D46" s="3103"/>
      <c r="E46" s="966">
        <f t="shared" ref="E46:F46" si="5">SUM(E47:E47)</f>
        <v>60000</v>
      </c>
      <c r="F46" s="966">
        <f t="shared" si="5"/>
        <v>60000</v>
      </c>
      <c r="G46" s="967">
        <f t="shared" si="2"/>
        <v>1</v>
      </c>
    </row>
    <row r="47" spans="1:7" ht="17.100000000000001" customHeight="1" thickBot="1">
      <c r="A47" s="848"/>
      <c r="B47" s="860"/>
      <c r="C47" s="968" t="s">
        <v>576</v>
      </c>
      <c r="D47" s="969" t="s">
        <v>577</v>
      </c>
      <c r="E47" s="970">
        <v>60000</v>
      </c>
      <c r="F47" s="970">
        <v>60000</v>
      </c>
      <c r="G47" s="971">
        <f t="shared" si="2"/>
        <v>1</v>
      </c>
    </row>
    <row r="48" spans="1:7" ht="17.100000000000001" hidden="1" customHeight="1" thickBot="1">
      <c r="A48" s="848"/>
      <c r="B48" s="849" t="s">
        <v>578</v>
      </c>
      <c r="C48" s="850"/>
      <c r="D48" s="851" t="s">
        <v>579</v>
      </c>
      <c r="E48" s="972">
        <f>E49</f>
        <v>1501961</v>
      </c>
      <c r="F48" s="972">
        <f t="shared" ref="F48" si="6">F49</f>
        <v>0</v>
      </c>
      <c r="G48" s="973">
        <f t="shared" si="2"/>
        <v>0</v>
      </c>
    </row>
    <row r="49" spans="1:7" ht="17.100000000000001" hidden="1" customHeight="1">
      <c r="A49" s="848"/>
      <c r="B49" s="974"/>
      <c r="C49" s="2802" t="s">
        <v>521</v>
      </c>
      <c r="D49" s="2802"/>
      <c r="E49" s="854">
        <f>E50+E71</f>
        <v>1501961</v>
      </c>
      <c r="F49" s="854">
        <f t="shared" ref="F49" si="7">F50+F71</f>
        <v>0</v>
      </c>
      <c r="G49" s="855">
        <f t="shared" si="2"/>
        <v>0</v>
      </c>
    </row>
    <row r="50" spans="1:7" ht="17.100000000000001" hidden="1" customHeight="1">
      <c r="A50" s="848"/>
      <c r="B50" s="860"/>
      <c r="C50" s="3089" t="s">
        <v>522</v>
      </c>
      <c r="D50" s="3089"/>
      <c r="E50" s="975">
        <f>E51+E58</f>
        <v>1501208</v>
      </c>
      <c r="F50" s="975">
        <f t="shared" ref="F50" si="8">F51+F58</f>
        <v>0</v>
      </c>
      <c r="G50" s="976">
        <f t="shared" si="2"/>
        <v>0</v>
      </c>
    </row>
    <row r="51" spans="1:7" ht="17.100000000000001" hidden="1" customHeight="1">
      <c r="A51" s="848"/>
      <c r="B51" s="860"/>
      <c r="C51" s="3090" t="s">
        <v>523</v>
      </c>
      <c r="D51" s="3090"/>
      <c r="E51" s="977">
        <f t="shared" ref="E51:F51" si="9">SUM(E52:E56)</f>
        <v>1191961</v>
      </c>
      <c r="F51" s="977">
        <f t="shared" si="9"/>
        <v>0</v>
      </c>
      <c r="G51" s="978">
        <f t="shared" si="2"/>
        <v>0</v>
      </c>
    </row>
    <row r="52" spans="1:7" ht="16.5" hidden="1" customHeight="1">
      <c r="A52" s="848"/>
      <c r="B52" s="860"/>
      <c r="C52" s="979" t="s">
        <v>524</v>
      </c>
      <c r="D52" s="980" t="s">
        <v>525</v>
      </c>
      <c r="E52" s="981">
        <v>0</v>
      </c>
      <c r="F52" s="981">
        <v>0</v>
      </c>
      <c r="G52" s="982"/>
    </row>
    <row r="53" spans="1:7" ht="17.100000000000001" hidden="1" customHeight="1">
      <c r="A53" s="848"/>
      <c r="B53" s="860"/>
      <c r="C53" s="983" t="s">
        <v>526</v>
      </c>
      <c r="D53" s="984" t="s">
        <v>527</v>
      </c>
      <c r="E53" s="985">
        <v>592680</v>
      </c>
      <c r="F53" s="985">
        <v>0</v>
      </c>
      <c r="G53" s="986">
        <f t="shared" si="2"/>
        <v>0</v>
      </c>
    </row>
    <row r="54" spans="1:7" ht="17.100000000000001" hidden="1" customHeight="1">
      <c r="A54" s="848"/>
      <c r="B54" s="860"/>
      <c r="C54" s="987" t="s">
        <v>528</v>
      </c>
      <c r="D54" s="988" t="s">
        <v>529</v>
      </c>
      <c r="E54" s="989">
        <v>108882</v>
      </c>
      <c r="F54" s="989">
        <v>0</v>
      </c>
      <c r="G54" s="990">
        <f t="shared" si="2"/>
        <v>0</v>
      </c>
    </row>
    <row r="55" spans="1:7" ht="17.100000000000001" hidden="1" customHeight="1">
      <c r="A55" s="848"/>
      <c r="B55" s="860"/>
      <c r="C55" s="991" t="s">
        <v>530</v>
      </c>
      <c r="D55" s="992" t="s">
        <v>531</v>
      </c>
      <c r="E55" s="993">
        <v>8712</v>
      </c>
      <c r="F55" s="993">
        <v>0</v>
      </c>
      <c r="G55" s="994">
        <f t="shared" si="2"/>
        <v>0</v>
      </c>
    </row>
    <row r="56" spans="1:7" ht="17.100000000000001" hidden="1" customHeight="1">
      <c r="A56" s="848"/>
      <c r="B56" s="860"/>
      <c r="C56" s="995" t="s">
        <v>532</v>
      </c>
      <c r="D56" s="996" t="s">
        <v>533</v>
      </c>
      <c r="E56" s="997">
        <v>481687</v>
      </c>
      <c r="F56" s="997">
        <v>0</v>
      </c>
      <c r="G56" s="998">
        <f t="shared" si="2"/>
        <v>0</v>
      </c>
    </row>
    <row r="57" spans="1:7" ht="17.100000000000001" hidden="1" customHeight="1">
      <c r="A57" s="848"/>
      <c r="B57" s="860"/>
      <c r="C57" s="999"/>
      <c r="D57" s="999"/>
      <c r="E57" s="1000"/>
      <c r="F57" s="1000"/>
      <c r="G57" s="1001"/>
    </row>
    <row r="58" spans="1:7" ht="17.100000000000001" hidden="1" customHeight="1">
      <c r="A58" s="848"/>
      <c r="B58" s="860"/>
      <c r="C58" s="3091" t="s">
        <v>534</v>
      </c>
      <c r="D58" s="3091"/>
      <c r="E58" s="1002">
        <f>SUM(E59:E69)</f>
        <v>309247</v>
      </c>
      <c r="F58" s="1002">
        <f t="shared" ref="F58" si="10">SUM(F59:F69)</f>
        <v>0</v>
      </c>
      <c r="G58" s="1003">
        <f t="shared" si="2"/>
        <v>0</v>
      </c>
    </row>
    <row r="59" spans="1:7" ht="17.100000000000001" hidden="1" customHeight="1">
      <c r="A59" s="848"/>
      <c r="B59" s="860"/>
      <c r="C59" s="1004" t="s">
        <v>537</v>
      </c>
      <c r="D59" s="1005" t="s">
        <v>538</v>
      </c>
      <c r="E59" s="1006">
        <v>8000</v>
      </c>
      <c r="F59" s="1006">
        <v>0</v>
      </c>
      <c r="G59" s="1007">
        <f t="shared" si="2"/>
        <v>0</v>
      </c>
    </row>
    <row r="60" spans="1:7" ht="17.100000000000001" hidden="1" customHeight="1">
      <c r="A60" s="848"/>
      <c r="B60" s="860"/>
      <c r="C60" s="1008" t="s">
        <v>541</v>
      </c>
      <c r="D60" s="1009" t="s">
        <v>542</v>
      </c>
      <c r="E60" s="1010">
        <v>77000</v>
      </c>
      <c r="F60" s="1010">
        <v>0</v>
      </c>
      <c r="G60" s="1011">
        <f t="shared" si="2"/>
        <v>0</v>
      </c>
    </row>
    <row r="61" spans="1:7" ht="17.100000000000001" hidden="1" customHeight="1">
      <c r="A61" s="848"/>
      <c r="B61" s="860"/>
      <c r="C61" s="1012" t="s">
        <v>543</v>
      </c>
      <c r="D61" s="1013" t="s">
        <v>544</v>
      </c>
      <c r="E61" s="1014">
        <v>16300</v>
      </c>
      <c r="F61" s="1014">
        <v>0</v>
      </c>
      <c r="G61" s="1015">
        <f t="shared" si="2"/>
        <v>0</v>
      </c>
    </row>
    <row r="62" spans="1:7" ht="17.100000000000001" hidden="1" customHeight="1">
      <c r="A62" s="848"/>
      <c r="B62" s="860"/>
      <c r="C62" s="1016" t="s">
        <v>547</v>
      </c>
      <c r="D62" s="1017" t="s">
        <v>548</v>
      </c>
      <c r="E62" s="1018">
        <v>123614</v>
      </c>
      <c r="F62" s="1018">
        <v>0</v>
      </c>
      <c r="G62" s="1019">
        <f t="shared" si="2"/>
        <v>0</v>
      </c>
    </row>
    <row r="63" spans="1:7" ht="16.5" hidden="1" customHeight="1">
      <c r="A63" s="848"/>
      <c r="B63" s="860"/>
      <c r="C63" s="1020" t="s">
        <v>549</v>
      </c>
      <c r="D63" s="1021" t="s">
        <v>550</v>
      </c>
      <c r="E63" s="1022">
        <v>23266</v>
      </c>
      <c r="F63" s="1022">
        <v>0</v>
      </c>
      <c r="G63" s="1023">
        <f t="shared" si="2"/>
        <v>0</v>
      </c>
    </row>
    <row r="64" spans="1:7" ht="27.75" hidden="1" customHeight="1">
      <c r="A64" s="848"/>
      <c r="B64" s="860"/>
      <c r="C64" s="1024" t="s">
        <v>553</v>
      </c>
      <c r="D64" s="1025" t="s">
        <v>554</v>
      </c>
      <c r="E64" s="1026">
        <v>566</v>
      </c>
      <c r="F64" s="1026">
        <v>0</v>
      </c>
      <c r="G64" s="1027">
        <f t="shared" si="2"/>
        <v>0</v>
      </c>
    </row>
    <row r="65" spans="1:7" ht="17.100000000000001" hidden="1" customHeight="1">
      <c r="A65" s="848"/>
      <c r="B65" s="860"/>
      <c r="C65" s="1028" t="s">
        <v>555</v>
      </c>
      <c r="D65" s="1029" t="s">
        <v>556</v>
      </c>
      <c r="E65" s="1030">
        <v>3565</v>
      </c>
      <c r="F65" s="1030">
        <v>0</v>
      </c>
      <c r="G65" s="1031">
        <f t="shared" si="2"/>
        <v>0</v>
      </c>
    </row>
    <row r="66" spans="1:7" ht="17.100000000000001" hidden="1" customHeight="1">
      <c r="A66" s="848"/>
      <c r="B66" s="860"/>
      <c r="C66" s="1032" t="s">
        <v>557</v>
      </c>
      <c r="D66" s="1033" t="s">
        <v>558</v>
      </c>
      <c r="E66" s="1030">
        <v>18806</v>
      </c>
      <c r="F66" s="1030">
        <v>0</v>
      </c>
      <c r="G66" s="1031">
        <f t="shared" si="2"/>
        <v>0</v>
      </c>
    </row>
    <row r="67" spans="1:7" ht="17.100000000000001" hidden="1" customHeight="1">
      <c r="A67" s="848"/>
      <c r="B67" s="860"/>
      <c r="C67" s="1032" t="s">
        <v>561</v>
      </c>
      <c r="D67" s="1033" t="s">
        <v>562</v>
      </c>
      <c r="E67" s="1030">
        <v>18430</v>
      </c>
      <c r="F67" s="1030">
        <v>0</v>
      </c>
      <c r="G67" s="1031">
        <f t="shared" si="2"/>
        <v>0</v>
      </c>
    </row>
    <row r="68" spans="1:7" ht="17.100000000000001" hidden="1" customHeight="1">
      <c r="A68" s="848"/>
      <c r="B68" s="860"/>
      <c r="C68" s="1034" t="s">
        <v>565</v>
      </c>
      <c r="D68" s="1035" t="s">
        <v>566</v>
      </c>
      <c r="E68" s="1030">
        <v>17950</v>
      </c>
      <c r="F68" s="1030">
        <v>0</v>
      </c>
      <c r="G68" s="1031">
        <f t="shared" si="2"/>
        <v>0</v>
      </c>
    </row>
    <row r="69" spans="1:7" ht="17.100000000000001" hidden="1" customHeight="1">
      <c r="A69" s="848"/>
      <c r="B69" s="860"/>
      <c r="C69" s="1032" t="s">
        <v>569</v>
      </c>
      <c r="D69" s="1033" t="s">
        <v>570</v>
      </c>
      <c r="E69" s="1030">
        <v>1750</v>
      </c>
      <c r="F69" s="1030">
        <v>0</v>
      </c>
      <c r="G69" s="1031">
        <f t="shared" si="2"/>
        <v>0</v>
      </c>
    </row>
    <row r="70" spans="1:7" ht="17.100000000000001" hidden="1" customHeight="1">
      <c r="A70" s="848"/>
      <c r="B70" s="860"/>
      <c r="C70" s="1036"/>
      <c r="D70" s="1037"/>
      <c r="E70" s="962"/>
      <c r="F70" s="962"/>
      <c r="G70" s="963"/>
    </row>
    <row r="71" spans="1:7" ht="17.100000000000001" hidden="1" customHeight="1">
      <c r="A71" s="848"/>
      <c r="B71" s="860"/>
      <c r="C71" s="3092" t="s">
        <v>571</v>
      </c>
      <c r="D71" s="3092"/>
      <c r="E71" s="1038">
        <f t="shared" ref="E71:F71" si="11">E72</f>
        <v>753</v>
      </c>
      <c r="F71" s="1038">
        <f t="shared" si="11"/>
        <v>0</v>
      </c>
      <c r="G71" s="1039">
        <f t="shared" si="2"/>
        <v>0</v>
      </c>
    </row>
    <row r="72" spans="1:7" ht="17.100000000000001" hidden="1" customHeight="1" thickBot="1">
      <c r="A72" s="848"/>
      <c r="B72" s="860"/>
      <c r="C72" s="1040" t="s">
        <v>572</v>
      </c>
      <c r="D72" s="1041" t="s">
        <v>573</v>
      </c>
      <c r="E72" s="1038">
        <v>753</v>
      </c>
      <c r="F72" s="1038">
        <v>0</v>
      </c>
      <c r="G72" s="1039">
        <f t="shared" si="2"/>
        <v>0</v>
      </c>
    </row>
    <row r="73" spans="1:7" ht="17.100000000000001" hidden="1" customHeight="1" thickBot="1">
      <c r="A73" s="848"/>
      <c r="B73" s="849" t="s">
        <v>236</v>
      </c>
      <c r="C73" s="850"/>
      <c r="D73" s="851" t="s">
        <v>237</v>
      </c>
      <c r="E73" s="1042">
        <f>E74+E96</f>
        <v>115293</v>
      </c>
      <c r="F73" s="1042">
        <f t="shared" ref="F73" si="12">F74+F96</f>
        <v>0</v>
      </c>
      <c r="G73" s="1043">
        <f t="shared" si="2"/>
        <v>0</v>
      </c>
    </row>
    <row r="74" spans="1:7" ht="17.100000000000001" hidden="1" customHeight="1">
      <c r="A74" s="848"/>
      <c r="B74" s="2806"/>
      <c r="C74" s="2802" t="s">
        <v>521</v>
      </c>
      <c r="D74" s="2802"/>
      <c r="E74" s="854">
        <f>E75+E93</f>
        <v>94126</v>
      </c>
      <c r="F74" s="854">
        <f t="shared" ref="F74" si="13">F75+F93</f>
        <v>0</v>
      </c>
      <c r="G74" s="855">
        <f t="shared" si="2"/>
        <v>0</v>
      </c>
    </row>
    <row r="75" spans="1:7" ht="17.100000000000001" hidden="1" customHeight="1">
      <c r="A75" s="848"/>
      <c r="B75" s="2806"/>
      <c r="C75" s="3093" t="s">
        <v>522</v>
      </c>
      <c r="D75" s="3093"/>
      <c r="E75" s="1030">
        <f t="shared" ref="E75:F75" si="14">E76+E82</f>
        <v>94126</v>
      </c>
      <c r="F75" s="1030">
        <f t="shared" si="14"/>
        <v>0</v>
      </c>
      <c r="G75" s="1039">
        <f t="shared" si="2"/>
        <v>0</v>
      </c>
    </row>
    <row r="76" spans="1:7" ht="17.100000000000001" hidden="1" customHeight="1">
      <c r="A76" s="848"/>
      <c r="B76" s="2806"/>
      <c r="C76" s="3094" t="s">
        <v>523</v>
      </c>
      <c r="D76" s="3094"/>
      <c r="E76" s="1044">
        <f t="shared" ref="E76:F76" si="15">E77+E79+E80+E78</f>
        <v>94126</v>
      </c>
      <c r="F76" s="1044">
        <f t="shared" si="15"/>
        <v>0</v>
      </c>
      <c r="G76" s="1045">
        <f t="shared" ref="G76:G139" si="16">F76/E76</f>
        <v>0</v>
      </c>
    </row>
    <row r="77" spans="1:7" ht="0.75" hidden="1" customHeight="1">
      <c r="A77" s="848"/>
      <c r="B77" s="2806"/>
      <c r="C77" s="1046" t="s">
        <v>524</v>
      </c>
      <c r="D77" s="1047" t="s">
        <v>525</v>
      </c>
      <c r="E77" s="1030">
        <v>0</v>
      </c>
      <c r="F77" s="1030">
        <v>0</v>
      </c>
      <c r="G77" s="1039" t="e">
        <f t="shared" si="16"/>
        <v>#DIV/0!</v>
      </c>
    </row>
    <row r="78" spans="1:7" ht="17.100000000000001" hidden="1" customHeight="1">
      <c r="A78" s="848"/>
      <c r="B78" s="2806"/>
      <c r="C78" s="1046" t="s">
        <v>526</v>
      </c>
      <c r="D78" s="1047" t="s">
        <v>527</v>
      </c>
      <c r="E78" s="1030">
        <v>79084</v>
      </c>
      <c r="F78" s="1030">
        <v>0</v>
      </c>
      <c r="G78" s="1039">
        <f t="shared" si="16"/>
        <v>0</v>
      </c>
    </row>
    <row r="79" spans="1:7" ht="17.100000000000001" hidden="1" customHeight="1">
      <c r="A79" s="848"/>
      <c r="B79" s="2806"/>
      <c r="C79" s="1046" t="s">
        <v>528</v>
      </c>
      <c r="D79" s="1047" t="s">
        <v>529</v>
      </c>
      <c r="E79" s="1030">
        <v>13595</v>
      </c>
      <c r="F79" s="1030">
        <v>0</v>
      </c>
      <c r="G79" s="1039">
        <f t="shared" si="16"/>
        <v>0</v>
      </c>
    </row>
    <row r="80" spans="1:7" ht="17.100000000000001" hidden="1" customHeight="1">
      <c r="A80" s="848"/>
      <c r="B80" s="2806"/>
      <c r="C80" s="1046" t="s">
        <v>530</v>
      </c>
      <c r="D80" s="1047" t="s">
        <v>531</v>
      </c>
      <c r="E80" s="1030">
        <v>1447</v>
      </c>
      <c r="F80" s="1030">
        <v>0</v>
      </c>
      <c r="G80" s="1039">
        <f t="shared" si="16"/>
        <v>0</v>
      </c>
    </row>
    <row r="81" spans="1:7" ht="17.100000000000001" hidden="1" customHeight="1">
      <c r="A81" s="848"/>
      <c r="B81" s="2806"/>
      <c r="C81" s="999"/>
      <c r="D81" s="1048"/>
      <c r="E81" s="1049"/>
      <c r="F81" s="1049"/>
      <c r="G81" s="1050"/>
    </row>
    <row r="82" spans="1:7" ht="17.100000000000001" hidden="1" customHeight="1">
      <c r="A82" s="848"/>
      <c r="B82" s="2806"/>
      <c r="C82" s="3095" t="s">
        <v>534</v>
      </c>
      <c r="D82" s="3096"/>
      <c r="E82" s="1044">
        <f>SUM(E83:E91)</f>
        <v>0</v>
      </c>
      <c r="F82" s="1044">
        <f t="shared" ref="F82" si="17">SUM(F83:F91)</f>
        <v>0</v>
      </c>
      <c r="G82" s="1045" t="e">
        <f t="shared" si="16"/>
        <v>#DIV/0!</v>
      </c>
    </row>
    <row r="83" spans="1:7" ht="17.100000000000001" hidden="1" customHeight="1">
      <c r="A83" s="848"/>
      <c r="B83" s="2806"/>
      <c r="C83" s="1051" t="s">
        <v>537</v>
      </c>
      <c r="D83" s="1047" t="s">
        <v>538</v>
      </c>
      <c r="E83" s="1030">
        <v>0</v>
      </c>
      <c r="F83" s="1030">
        <v>0</v>
      </c>
      <c r="G83" s="1039" t="e">
        <f t="shared" si="16"/>
        <v>#DIV/0!</v>
      </c>
    </row>
    <row r="84" spans="1:7" ht="17.100000000000001" hidden="1" customHeight="1">
      <c r="A84" s="848"/>
      <c r="B84" s="2806"/>
      <c r="C84" s="1046" t="s">
        <v>541</v>
      </c>
      <c r="D84" s="1047" t="s">
        <v>542</v>
      </c>
      <c r="E84" s="1030">
        <v>0</v>
      </c>
      <c r="F84" s="1030">
        <v>0</v>
      </c>
      <c r="G84" s="1039" t="e">
        <f t="shared" si="16"/>
        <v>#DIV/0!</v>
      </c>
    </row>
    <row r="85" spans="1:7" ht="17.100000000000001" hidden="1" customHeight="1">
      <c r="A85" s="848"/>
      <c r="B85" s="2806"/>
      <c r="C85" s="1046" t="s">
        <v>543</v>
      </c>
      <c r="D85" s="1047" t="s">
        <v>544</v>
      </c>
      <c r="E85" s="1030">
        <v>0</v>
      </c>
      <c r="F85" s="1030">
        <v>0</v>
      </c>
      <c r="G85" s="1039" t="e">
        <f t="shared" si="16"/>
        <v>#DIV/0!</v>
      </c>
    </row>
    <row r="86" spans="1:7" ht="17.100000000000001" hidden="1" customHeight="1">
      <c r="A86" s="848"/>
      <c r="B86" s="2806"/>
      <c r="C86" s="1046" t="s">
        <v>545</v>
      </c>
      <c r="D86" s="1047" t="s">
        <v>546</v>
      </c>
      <c r="E86" s="1030">
        <v>0</v>
      </c>
      <c r="F86" s="1030">
        <v>0</v>
      </c>
      <c r="G86" s="1039" t="e">
        <f t="shared" si="16"/>
        <v>#DIV/0!</v>
      </c>
    </row>
    <row r="87" spans="1:7" ht="17.100000000000001" hidden="1" customHeight="1">
      <c r="A87" s="848"/>
      <c r="B87" s="2806"/>
      <c r="C87" s="1046" t="s">
        <v>547</v>
      </c>
      <c r="D87" s="1047" t="s">
        <v>548</v>
      </c>
      <c r="E87" s="1030">
        <v>0</v>
      </c>
      <c r="F87" s="1030">
        <v>0</v>
      </c>
      <c r="G87" s="1039" t="e">
        <f t="shared" si="16"/>
        <v>#DIV/0!</v>
      </c>
    </row>
    <row r="88" spans="1:7" ht="16.5" hidden="1" customHeight="1">
      <c r="A88" s="848"/>
      <c r="B88" s="2806"/>
      <c r="C88" s="1046" t="s">
        <v>549</v>
      </c>
      <c r="D88" s="1047" t="s">
        <v>550</v>
      </c>
      <c r="E88" s="1030">
        <v>0</v>
      </c>
      <c r="F88" s="1030">
        <v>0</v>
      </c>
      <c r="G88" s="1039" t="e">
        <f t="shared" si="16"/>
        <v>#DIV/0!</v>
      </c>
    </row>
    <row r="89" spans="1:7" ht="17.100000000000001" hidden="1" customHeight="1">
      <c r="A89" s="848"/>
      <c r="B89" s="2806"/>
      <c r="C89" s="1046" t="s">
        <v>559</v>
      </c>
      <c r="D89" s="1047" t="s">
        <v>560</v>
      </c>
      <c r="E89" s="1030">
        <v>0</v>
      </c>
      <c r="F89" s="1030">
        <v>0</v>
      </c>
      <c r="G89" s="1039" t="e">
        <f t="shared" si="16"/>
        <v>#DIV/0!</v>
      </c>
    </row>
    <row r="90" spans="1:7" ht="17.100000000000001" hidden="1" customHeight="1">
      <c r="A90" s="848"/>
      <c r="B90" s="2806"/>
      <c r="C90" s="1046" t="s">
        <v>561</v>
      </c>
      <c r="D90" s="1047" t="s">
        <v>562</v>
      </c>
      <c r="E90" s="1030">
        <v>0</v>
      </c>
      <c r="F90" s="1030">
        <v>0</v>
      </c>
      <c r="G90" s="1039" t="e">
        <f t="shared" si="16"/>
        <v>#DIV/0!</v>
      </c>
    </row>
    <row r="91" spans="1:7" ht="17.100000000000001" hidden="1" customHeight="1">
      <c r="A91" s="848"/>
      <c r="B91" s="2806"/>
      <c r="C91" s="1052" t="s">
        <v>580</v>
      </c>
      <c r="D91" s="1053" t="s">
        <v>581</v>
      </c>
      <c r="E91" s="1030">
        <v>0</v>
      </c>
      <c r="F91" s="1030">
        <v>0</v>
      </c>
      <c r="G91" s="1039" t="e">
        <f t="shared" si="16"/>
        <v>#DIV/0!</v>
      </c>
    </row>
    <row r="92" spans="1:7" ht="17.100000000000001" hidden="1" customHeight="1">
      <c r="A92" s="848"/>
      <c r="B92" s="2806"/>
      <c r="C92" s="3082"/>
      <c r="D92" s="3083"/>
      <c r="E92" s="1054"/>
      <c r="F92" s="1054"/>
      <c r="G92" s="1055" t="e">
        <f t="shared" si="16"/>
        <v>#DIV/0!</v>
      </c>
    </row>
    <row r="93" spans="1:7" ht="17.100000000000001" hidden="1" customHeight="1">
      <c r="A93" s="848"/>
      <c r="B93" s="2806"/>
      <c r="C93" s="2828" t="s">
        <v>571</v>
      </c>
      <c r="D93" s="2828"/>
      <c r="E93" s="1056">
        <f t="shared" ref="E93:F93" si="18">E94</f>
        <v>0</v>
      </c>
      <c r="F93" s="1056">
        <f t="shared" si="18"/>
        <v>0</v>
      </c>
      <c r="G93" s="883" t="e">
        <f t="shared" si="16"/>
        <v>#DIV/0!</v>
      </c>
    </row>
    <row r="94" spans="1:7" ht="17.100000000000001" hidden="1" customHeight="1">
      <c r="A94" s="848"/>
      <c r="B94" s="2806"/>
      <c r="C94" s="1057" t="s">
        <v>572</v>
      </c>
      <c r="D94" s="1058" t="s">
        <v>573</v>
      </c>
      <c r="E94" s="1059"/>
      <c r="F94" s="1059">
        <v>0</v>
      </c>
      <c r="G94" s="1055" t="e">
        <f t="shared" si="16"/>
        <v>#DIV/0!</v>
      </c>
    </row>
    <row r="95" spans="1:7" ht="17.100000000000001" hidden="1" customHeight="1">
      <c r="A95" s="848"/>
      <c r="B95" s="2806"/>
      <c r="C95" s="999"/>
      <c r="D95" s="999"/>
      <c r="E95" s="882"/>
      <c r="F95" s="882"/>
      <c r="G95" s="883" t="e">
        <f t="shared" si="16"/>
        <v>#DIV/0!</v>
      </c>
    </row>
    <row r="96" spans="1:7" ht="17.100000000000001" hidden="1" customHeight="1">
      <c r="A96" s="848"/>
      <c r="B96" s="2806"/>
      <c r="C96" s="3084" t="s">
        <v>574</v>
      </c>
      <c r="D96" s="3085"/>
      <c r="E96" s="1060">
        <f t="shared" ref="E96:F96" si="19">E97</f>
        <v>21167</v>
      </c>
      <c r="F96" s="1060">
        <f t="shared" si="19"/>
        <v>0</v>
      </c>
      <c r="G96" s="1061">
        <f t="shared" si="16"/>
        <v>0</v>
      </c>
    </row>
    <row r="97" spans="1:7" ht="17.100000000000001" hidden="1" customHeight="1">
      <c r="A97" s="848"/>
      <c r="B97" s="2806"/>
      <c r="C97" s="3075" t="s">
        <v>575</v>
      </c>
      <c r="D97" s="3075"/>
      <c r="E97" s="1062">
        <f>SUM(E98:E99)</f>
        <v>21167</v>
      </c>
      <c r="F97" s="1062">
        <f t="shared" ref="F97" si="20">SUM(F98:F99)</f>
        <v>0</v>
      </c>
      <c r="G97" s="1063">
        <f t="shared" si="16"/>
        <v>0</v>
      </c>
    </row>
    <row r="98" spans="1:7" ht="20.25" hidden="1" customHeight="1">
      <c r="A98" s="848"/>
      <c r="B98" s="2806"/>
      <c r="C98" s="1064" t="s">
        <v>582</v>
      </c>
      <c r="D98" s="1065" t="s">
        <v>577</v>
      </c>
      <c r="E98" s="1062"/>
      <c r="F98" s="1062">
        <v>0</v>
      </c>
      <c r="G98" s="1063"/>
    </row>
    <row r="99" spans="1:7" ht="55.5" hidden="1" customHeight="1" thickBot="1">
      <c r="A99" s="848"/>
      <c r="B99" s="2806"/>
      <c r="C99" s="1066" t="s">
        <v>583</v>
      </c>
      <c r="D99" s="1067" t="s">
        <v>584</v>
      </c>
      <c r="E99" s="1062">
        <v>21167</v>
      </c>
      <c r="F99" s="1062">
        <v>0</v>
      </c>
      <c r="G99" s="1063">
        <f t="shared" si="16"/>
        <v>0</v>
      </c>
    </row>
    <row r="100" spans="1:7" ht="17.100000000000001" hidden="1" customHeight="1">
      <c r="A100" s="848"/>
      <c r="B100" s="2933"/>
      <c r="C100" s="999"/>
      <c r="D100" s="1048"/>
      <c r="E100" s="1049"/>
      <c r="F100" s="1049"/>
      <c r="G100" s="1050" t="e">
        <f t="shared" si="16"/>
        <v>#DIV/0!</v>
      </c>
    </row>
    <row r="101" spans="1:7" ht="17.100000000000001" hidden="1" customHeight="1">
      <c r="A101" s="848"/>
      <c r="B101" s="2933"/>
      <c r="C101" s="3071" t="s">
        <v>585</v>
      </c>
      <c r="D101" s="3086"/>
      <c r="E101" s="1062">
        <f>E102</f>
        <v>0</v>
      </c>
      <c r="F101" s="1062">
        <f t="shared" ref="F101" si="21">F102</f>
        <v>0</v>
      </c>
      <c r="G101" s="1063" t="e">
        <f t="shared" si="16"/>
        <v>#DIV/0!</v>
      </c>
    </row>
    <row r="102" spans="1:7" ht="17.100000000000001" hidden="1" customHeight="1" thickBot="1">
      <c r="A102" s="848"/>
      <c r="B102" s="2933"/>
      <c r="C102" s="1068" t="s">
        <v>582</v>
      </c>
      <c r="D102" s="1069" t="s">
        <v>577</v>
      </c>
      <c r="E102" s="1070"/>
      <c r="F102" s="1070"/>
      <c r="G102" s="1071" t="e">
        <f t="shared" si="16"/>
        <v>#DIV/0!</v>
      </c>
    </row>
    <row r="103" spans="1:7" ht="17.100000000000001" customHeight="1" thickBot="1">
      <c r="A103" s="848"/>
      <c r="B103" s="1072" t="s">
        <v>245</v>
      </c>
      <c r="C103" s="1073"/>
      <c r="D103" s="1074" t="s">
        <v>586</v>
      </c>
      <c r="E103" s="1075">
        <f t="shared" ref="E103:F104" si="22">E104</f>
        <v>4915000</v>
      </c>
      <c r="F103" s="1075">
        <f t="shared" si="22"/>
        <v>5345000</v>
      </c>
      <c r="G103" s="1076">
        <f t="shared" si="16"/>
        <v>1.0874872838250254</v>
      </c>
    </row>
    <row r="104" spans="1:7" ht="17.100000000000001" customHeight="1">
      <c r="A104" s="848"/>
      <c r="B104" s="3030"/>
      <c r="C104" s="2813" t="s">
        <v>521</v>
      </c>
      <c r="D104" s="2769"/>
      <c r="E104" s="854">
        <f t="shared" si="22"/>
        <v>4915000</v>
      </c>
      <c r="F104" s="854">
        <f t="shared" si="22"/>
        <v>5345000</v>
      </c>
      <c r="G104" s="855">
        <f t="shared" si="16"/>
        <v>1.0874872838250254</v>
      </c>
    </row>
    <row r="105" spans="1:7" ht="17.100000000000001" customHeight="1">
      <c r="A105" s="848"/>
      <c r="B105" s="3031"/>
      <c r="C105" s="3072" t="s">
        <v>587</v>
      </c>
      <c r="D105" s="3088"/>
      <c r="E105" s="1030">
        <f>SUM(E106:E135)</f>
        <v>4915000</v>
      </c>
      <c r="F105" s="1030">
        <f t="shared" ref="F105" si="23">SUM(F106:F135)</f>
        <v>5345000</v>
      </c>
      <c r="G105" s="1077">
        <f t="shared" si="16"/>
        <v>1.0874872838250254</v>
      </c>
    </row>
    <row r="106" spans="1:7" ht="51.75" hidden="1" customHeight="1">
      <c r="A106" s="848"/>
      <c r="B106" s="3031"/>
      <c r="C106" s="1078" t="s">
        <v>588</v>
      </c>
      <c r="D106" s="1079" t="s">
        <v>589</v>
      </c>
      <c r="E106" s="1030">
        <v>129582</v>
      </c>
      <c r="F106" s="1030">
        <v>0</v>
      </c>
      <c r="G106" s="1077">
        <f t="shared" si="16"/>
        <v>0</v>
      </c>
    </row>
    <row r="107" spans="1:7" ht="54" hidden="1" customHeight="1">
      <c r="A107" s="848"/>
      <c r="B107" s="3031"/>
      <c r="C107" s="1078" t="s">
        <v>460</v>
      </c>
      <c r="D107" s="1079" t="s">
        <v>589</v>
      </c>
      <c r="E107" s="1030">
        <v>74068</v>
      </c>
      <c r="F107" s="1030">
        <v>0</v>
      </c>
      <c r="G107" s="1077">
        <f t="shared" si="16"/>
        <v>0</v>
      </c>
    </row>
    <row r="108" spans="1:7" ht="53.25" hidden="1" customHeight="1">
      <c r="A108" s="848"/>
      <c r="B108" s="3031"/>
      <c r="C108" s="1078" t="s">
        <v>338</v>
      </c>
      <c r="D108" s="1079" t="s">
        <v>590</v>
      </c>
      <c r="E108" s="1030">
        <v>115393</v>
      </c>
      <c r="F108" s="1030">
        <v>0</v>
      </c>
      <c r="G108" s="1077">
        <f t="shared" si="16"/>
        <v>0</v>
      </c>
    </row>
    <row r="109" spans="1:7" ht="51.75" hidden="1" customHeight="1">
      <c r="A109" s="848"/>
      <c r="B109" s="3031"/>
      <c r="C109" s="1078" t="s">
        <v>328</v>
      </c>
      <c r="D109" s="1079" t="s">
        <v>590</v>
      </c>
      <c r="E109" s="1030">
        <v>65957</v>
      </c>
      <c r="F109" s="1030">
        <v>0</v>
      </c>
      <c r="G109" s="1077">
        <f t="shared" si="16"/>
        <v>0</v>
      </c>
    </row>
    <row r="110" spans="1:7" ht="17.100000000000001" customHeight="1">
      <c r="A110" s="848"/>
      <c r="B110" s="3031"/>
      <c r="C110" s="1080" t="s">
        <v>591</v>
      </c>
      <c r="D110" s="1081" t="s">
        <v>525</v>
      </c>
      <c r="E110" s="1082">
        <v>2010298</v>
      </c>
      <c r="F110" s="1082">
        <v>1915240</v>
      </c>
      <c r="G110" s="1083">
        <f t="shared" si="16"/>
        <v>0.95271447317760849</v>
      </c>
    </row>
    <row r="111" spans="1:7" ht="17.100000000000001" customHeight="1">
      <c r="A111" s="848"/>
      <c r="B111" s="3031"/>
      <c r="C111" s="1084" t="s">
        <v>592</v>
      </c>
      <c r="D111" s="1085" t="s">
        <v>525</v>
      </c>
      <c r="E111" s="1086">
        <v>1149702</v>
      </c>
      <c r="F111" s="1086">
        <v>1094760</v>
      </c>
      <c r="G111" s="1087">
        <f t="shared" si="16"/>
        <v>0.95221196449166823</v>
      </c>
    </row>
    <row r="112" spans="1:7" ht="17.100000000000001" customHeight="1">
      <c r="A112" s="848"/>
      <c r="B112" s="3031"/>
      <c r="C112" s="1088" t="s">
        <v>593</v>
      </c>
      <c r="D112" s="1089" t="s">
        <v>527</v>
      </c>
      <c r="E112" s="1090">
        <v>120897</v>
      </c>
      <c r="F112" s="1090">
        <v>165438</v>
      </c>
      <c r="G112" s="1091">
        <f t="shared" si="16"/>
        <v>1.368421052631579</v>
      </c>
    </row>
    <row r="113" spans="1:7" ht="17.100000000000001" customHeight="1">
      <c r="A113" s="848"/>
      <c r="B113" s="3031"/>
      <c r="C113" s="1092" t="s">
        <v>594</v>
      </c>
      <c r="D113" s="1093" t="s">
        <v>527</v>
      </c>
      <c r="E113" s="1094">
        <v>69103</v>
      </c>
      <c r="F113" s="1094">
        <v>94562</v>
      </c>
      <c r="G113" s="1095">
        <f t="shared" si="16"/>
        <v>1.368421052631579</v>
      </c>
    </row>
    <row r="114" spans="1:7" ht="17.100000000000001" customHeight="1">
      <c r="A114" s="848"/>
      <c r="B114" s="3031"/>
      <c r="C114" s="1096" t="s">
        <v>595</v>
      </c>
      <c r="D114" s="1097" t="s">
        <v>529</v>
      </c>
      <c r="E114" s="1098">
        <v>381780</v>
      </c>
      <c r="F114" s="1098">
        <v>381780</v>
      </c>
      <c r="G114" s="1099">
        <f t="shared" si="16"/>
        <v>1</v>
      </c>
    </row>
    <row r="115" spans="1:7" ht="17.100000000000001" customHeight="1">
      <c r="A115" s="848"/>
      <c r="B115" s="3031"/>
      <c r="C115" s="1100" t="s">
        <v>596</v>
      </c>
      <c r="D115" s="1101" t="s">
        <v>529</v>
      </c>
      <c r="E115" s="1102">
        <v>218220</v>
      </c>
      <c r="F115" s="1102">
        <v>218220</v>
      </c>
      <c r="G115" s="1103">
        <f t="shared" si="16"/>
        <v>1</v>
      </c>
    </row>
    <row r="116" spans="1:7" ht="17.100000000000001" customHeight="1">
      <c r="A116" s="848"/>
      <c r="B116" s="3031"/>
      <c r="C116" s="1104" t="s">
        <v>597</v>
      </c>
      <c r="D116" s="1105" t="s">
        <v>531</v>
      </c>
      <c r="E116" s="1106">
        <v>57266</v>
      </c>
      <c r="F116" s="1106">
        <v>57267</v>
      </c>
      <c r="G116" s="1107">
        <f t="shared" si="16"/>
        <v>1.0000174623685956</v>
      </c>
    </row>
    <row r="117" spans="1:7" ht="17.100000000000001" customHeight="1">
      <c r="A117" s="848"/>
      <c r="B117" s="3031"/>
      <c r="C117" s="1108" t="s">
        <v>598</v>
      </c>
      <c r="D117" s="1109" t="s">
        <v>531</v>
      </c>
      <c r="E117" s="1110">
        <v>32734</v>
      </c>
      <c r="F117" s="1110">
        <v>32733</v>
      </c>
      <c r="G117" s="1111">
        <f t="shared" si="16"/>
        <v>0.99996945072401788</v>
      </c>
    </row>
    <row r="118" spans="1:7" ht="17.100000000000001" customHeight="1">
      <c r="A118" s="848"/>
      <c r="B118" s="3031"/>
      <c r="C118" s="1112" t="s">
        <v>599</v>
      </c>
      <c r="D118" s="1113" t="s">
        <v>533</v>
      </c>
      <c r="E118" s="1114">
        <v>6363</v>
      </c>
      <c r="F118" s="1114">
        <v>6363</v>
      </c>
      <c r="G118" s="1115">
        <f t="shared" si="16"/>
        <v>1</v>
      </c>
    </row>
    <row r="119" spans="1:7" ht="17.100000000000001" customHeight="1">
      <c r="A119" s="848"/>
      <c r="B119" s="3031"/>
      <c r="C119" s="1116" t="s">
        <v>600</v>
      </c>
      <c r="D119" s="1117" t="s">
        <v>533</v>
      </c>
      <c r="E119" s="1118">
        <v>3637</v>
      </c>
      <c r="F119" s="1118">
        <v>3637</v>
      </c>
      <c r="G119" s="1119">
        <f t="shared" si="16"/>
        <v>1</v>
      </c>
    </row>
    <row r="120" spans="1:7" ht="17.100000000000001" customHeight="1">
      <c r="A120" s="848"/>
      <c r="B120" s="3031"/>
      <c r="C120" s="1120" t="s">
        <v>601</v>
      </c>
      <c r="D120" s="1121" t="s">
        <v>602</v>
      </c>
      <c r="E120" s="1122">
        <v>6362</v>
      </c>
      <c r="F120" s="1122">
        <v>190890</v>
      </c>
      <c r="G120" s="1123">
        <f t="shared" si="16"/>
        <v>30.004715498270983</v>
      </c>
    </row>
    <row r="121" spans="1:7" ht="17.100000000000001" customHeight="1">
      <c r="A121" s="848"/>
      <c r="B121" s="3031"/>
      <c r="C121" s="1124" t="s">
        <v>603</v>
      </c>
      <c r="D121" s="1125" t="s">
        <v>602</v>
      </c>
      <c r="E121" s="1126">
        <v>3638</v>
      </c>
      <c r="F121" s="1126">
        <v>109110</v>
      </c>
      <c r="G121" s="1127">
        <f t="shared" si="16"/>
        <v>29.991753710830128</v>
      </c>
    </row>
    <row r="122" spans="1:7" ht="17.100000000000001" customHeight="1">
      <c r="A122" s="848"/>
      <c r="B122" s="3031"/>
      <c r="C122" s="1128" t="s">
        <v>604</v>
      </c>
      <c r="D122" s="1129" t="s">
        <v>538</v>
      </c>
      <c r="E122" s="1130">
        <v>62994</v>
      </c>
      <c r="F122" s="1130">
        <v>103717</v>
      </c>
      <c r="G122" s="1131">
        <f t="shared" si="16"/>
        <v>1.6464583928628123</v>
      </c>
    </row>
    <row r="123" spans="1:7" ht="17.100000000000001" customHeight="1">
      <c r="A123" s="848"/>
      <c r="B123" s="3031"/>
      <c r="C123" s="1132" t="s">
        <v>605</v>
      </c>
      <c r="D123" s="1133" t="s">
        <v>538</v>
      </c>
      <c r="E123" s="1134">
        <v>36006</v>
      </c>
      <c r="F123" s="1134">
        <v>59283</v>
      </c>
      <c r="G123" s="1135">
        <f t="shared" si="16"/>
        <v>1.6464755874020998</v>
      </c>
    </row>
    <row r="124" spans="1:7" ht="17.100000000000001" customHeight="1">
      <c r="A124" s="848"/>
      <c r="B124" s="3031"/>
      <c r="C124" s="1136" t="s">
        <v>606</v>
      </c>
      <c r="D124" s="1137" t="s">
        <v>544</v>
      </c>
      <c r="E124" s="1138">
        <v>1908</v>
      </c>
      <c r="F124" s="1138">
        <v>1909</v>
      </c>
      <c r="G124" s="1139">
        <f t="shared" si="16"/>
        <v>1.000524109014675</v>
      </c>
    </row>
    <row r="125" spans="1:7" ht="17.100000000000001" customHeight="1">
      <c r="A125" s="848"/>
      <c r="B125" s="3031"/>
      <c r="C125" s="1140" t="s">
        <v>607</v>
      </c>
      <c r="D125" s="1141" t="s">
        <v>544</v>
      </c>
      <c r="E125" s="1142">
        <v>1092</v>
      </c>
      <c r="F125" s="1142">
        <v>1091</v>
      </c>
      <c r="G125" s="1143">
        <f t="shared" si="16"/>
        <v>0.99908424908424909</v>
      </c>
    </row>
    <row r="126" spans="1:7" ht="17.100000000000001" customHeight="1">
      <c r="A126" s="848"/>
      <c r="B126" s="3031"/>
      <c r="C126" s="1144" t="s">
        <v>608</v>
      </c>
      <c r="D126" s="1145" t="s">
        <v>548</v>
      </c>
      <c r="E126" s="1146">
        <v>209979</v>
      </c>
      <c r="F126" s="1146">
        <v>532583</v>
      </c>
      <c r="G126" s="1147">
        <f t="shared" si="16"/>
        <v>2.5363631601255365</v>
      </c>
    </row>
    <row r="127" spans="1:7" ht="17.100000000000001" customHeight="1">
      <c r="A127" s="848"/>
      <c r="B127" s="3031"/>
      <c r="C127" s="1148" t="s">
        <v>609</v>
      </c>
      <c r="D127" s="1149" t="s">
        <v>548</v>
      </c>
      <c r="E127" s="1150">
        <v>120021</v>
      </c>
      <c r="F127" s="1150">
        <v>304417</v>
      </c>
      <c r="G127" s="1151">
        <f t="shared" si="16"/>
        <v>2.5363644695511618</v>
      </c>
    </row>
    <row r="128" spans="1:7" ht="17.100000000000001" customHeight="1">
      <c r="A128" s="848"/>
      <c r="B128" s="3031"/>
      <c r="C128" s="1152" t="s">
        <v>610</v>
      </c>
      <c r="D128" s="1153" t="s">
        <v>552</v>
      </c>
      <c r="E128" s="1154">
        <v>1908</v>
      </c>
      <c r="F128" s="1154">
        <v>636</v>
      </c>
      <c r="G128" s="1155">
        <f t="shared" si="16"/>
        <v>0.33333333333333331</v>
      </c>
    </row>
    <row r="129" spans="1:7" ht="17.100000000000001" customHeight="1">
      <c r="A129" s="848"/>
      <c r="B129" s="3031"/>
      <c r="C129" s="1156" t="s">
        <v>611</v>
      </c>
      <c r="D129" s="1157" t="s">
        <v>552</v>
      </c>
      <c r="E129" s="1158">
        <v>1092</v>
      </c>
      <c r="F129" s="1158">
        <v>364</v>
      </c>
      <c r="G129" s="1159">
        <f t="shared" si="16"/>
        <v>0.33333333333333331</v>
      </c>
    </row>
    <row r="130" spans="1:7" ht="17.100000000000001" customHeight="1">
      <c r="A130" s="848"/>
      <c r="B130" s="3031"/>
      <c r="C130" s="1160" t="s">
        <v>612</v>
      </c>
      <c r="D130" s="1161" t="s">
        <v>556</v>
      </c>
      <c r="E130" s="1162">
        <v>6363</v>
      </c>
      <c r="F130" s="1162">
        <v>13999</v>
      </c>
      <c r="G130" s="1163">
        <f t="shared" si="16"/>
        <v>2.2000628634292001</v>
      </c>
    </row>
    <row r="131" spans="1:7" ht="17.100000000000001" customHeight="1">
      <c r="A131" s="848"/>
      <c r="B131" s="3031"/>
      <c r="C131" s="1164" t="s">
        <v>613</v>
      </c>
      <c r="D131" s="1165" t="s">
        <v>556</v>
      </c>
      <c r="E131" s="1166">
        <v>3637</v>
      </c>
      <c r="F131" s="1166">
        <v>8001</v>
      </c>
      <c r="G131" s="1167">
        <f t="shared" si="16"/>
        <v>2.1998900192466317</v>
      </c>
    </row>
    <row r="132" spans="1:7" ht="17.100000000000001" customHeight="1">
      <c r="A132" s="848"/>
      <c r="B132" s="3031"/>
      <c r="C132" s="1168" t="s">
        <v>614</v>
      </c>
      <c r="D132" s="1169" t="s">
        <v>558</v>
      </c>
      <c r="E132" s="1170">
        <v>9544</v>
      </c>
      <c r="F132" s="1170">
        <v>9544</v>
      </c>
      <c r="G132" s="1171">
        <f t="shared" si="16"/>
        <v>1</v>
      </c>
    </row>
    <row r="133" spans="1:7" ht="17.100000000000001" customHeight="1">
      <c r="A133" s="848"/>
      <c r="B133" s="3031"/>
      <c r="C133" s="1172" t="s">
        <v>615</v>
      </c>
      <c r="D133" s="1173" t="s">
        <v>558</v>
      </c>
      <c r="E133" s="1174">
        <v>5456</v>
      </c>
      <c r="F133" s="1174">
        <v>5456</v>
      </c>
      <c r="G133" s="1175">
        <f t="shared" si="16"/>
        <v>1</v>
      </c>
    </row>
    <row r="134" spans="1:7" ht="17.100000000000001" customHeight="1">
      <c r="A134" s="848"/>
      <c r="B134" s="3031"/>
      <c r="C134" s="1176" t="s">
        <v>616</v>
      </c>
      <c r="D134" s="1177" t="s">
        <v>570</v>
      </c>
      <c r="E134" s="1178">
        <v>6363</v>
      </c>
      <c r="F134" s="1178">
        <v>21634</v>
      </c>
      <c r="G134" s="1179">
        <f t="shared" si="16"/>
        <v>3.3999685682854</v>
      </c>
    </row>
    <row r="135" spans="1:7" ht="17.100000000000001" customHeight="1" thickBot="1">
      <c r="A135" s="848"/>
      <c r="B135" s="3087"/>
      <c r="C135" s="1180" t="s">
        <v>617</v>
      </c>
      <c r="D135" s="1181" t="s">
        <v>570</v>
      </c>
      <c r="E135" s="1182">
        <v>3637</v>
      </c>
      <c r="F135" s="1182">
        <v>12366</v>
      </c>
      <c r="G135" s="1183">
        <f t="shared" si="16"/>
        <v>3.4000549903766841</v>
      </c>
    </row>
    <row r="136" spans="1:7" ht="17.100000000000001" customHeight="1" thickBot="1">
      <c r="A136" s="848"/>
      <c r="B136" s="1072" t="s">
        <v>58</v>
      </c>
      <c r="C136" s="1073"/>
      <c r="D136" s="1074" t="s">
        <v>249</v>
      </c>
      <c r="E136" s="1075">
        <f t="shared" ref="E136:F136" si="24">E137+E147</f>
        <v>11528769</v>
      </c>
      <c r="F136" s="1075">
        <f t="shared" si="24"/>
        <v>9500000</v>
      </c>
      <c r="G136" s="1076">
        <f t="shared" si="16"/>
        <v>0.82402553126010247</v>
      </c>
    </row>
    <row r="137" spans="1:7" ht="17.100000000000001" customHeight="1">
      <c r="A137" s="848"/>
      <c r="B137" s="1184"/>
      <c r="C137" s="2802" t="s">
        <v>521</v>
      </c>
      <c r="D137" s="2802"/>
      <c r="E137" s="854">
        <f t="shared" ref="E137:F137" si="25">E138+E143</f>
        <v>3263800</v>
      </c>
      <c r="F137" s="854">
        <f t="shared" si="25"/>
        <v>3520000</v>
      </c>
      <c r="G137" s="855">
        <f t="shared" si="16"/>
        <v>1.0784974569520192</v>
      </c>
    </row>
    <row r="138" spans="1:7" ht="17.100000000000001" customHeight="1">
      <c r="A138" s="848"/>
      <c r="B138" s="1184"/>
      <c r="C138" s="3072" t="s">
        <v>522</v>
      </c>
      <c r="D138" s="3072"/>
      <c r="E138" s="1030">
        <f t="shared" ref="E138:F138" si="26">E139</f>
        <v>182000</v>
      </c>
      <c r="F138" s="1030">
        <f t="shared" si="26"/>
        <v>170000</v>
      </c>
      <c r="G138" s="1077">
        <f t="shared" si="16"/>
        <v>0.93406593406593408</v>
      </c>
    </row>
    <row r="139" spans="1:7" ht="17.100000000000001" customHeight="1">
      <c r="A139" s="848"/>
      <c r="B139" s="1184"/>
      <c r="C139" s="3071" t="s">
        <v>534</v>
      </c>
      <c r="D139" s="3071"/>
      <c r="E139" s="1030">
        <f t="shared" ref="E139:F139" si="27">SUM(E140:E141)</f>
        <v>182000</v>
      </c>
      <c r="F139" s="1030">
        <f t="shared" si="27"/>
        <v>170000</v>
      </c>
      <c r="G139" s="1077">
        <f t="shared" si="16"/>
        <v>0.93406593406593408</v>
      </c>
    </row>
    <row r="140" spans="1:7" ht="17.100000000000001" customHeight="1">
      <c r="A140" s="848"/>
      <c r="B140" s="1184"/>
      <c r="C140" s="1080" t="s">
        <v>537</v>
      </c>
      <c r="D140" s="1185" t="s">
        <v>538</v>
      </c>
      <c r="E140" s="1030">
        <v>157000</v>
      </c>
      <c r="F140" s="1030">
        <v>140000</v>
      </c>
      <c r="G140" s="1077">
        <f t="shared" ref="G140:G207" si="28">F140/E140</f>
        <v>0.89171974522292996</v>
      </c>
    </row>
    <row r="141" spans="1:7" ht="17.100000000000001" customHeight="1">
      <c r="A141" s="848"/>
      <c r="B141" s="1184"/>
      <c r="C141" s="1080" t="s">
        <v>547</v>
      </c>
      <c r="D141" s="1185" t="s">
        <v>548</v>
      </c>
      <c r="E141" s="1030">
        <v>25000</v>
      </c>
      <c r="F141" s="1030">
        <v>30000</v>
      </c>
      <c r="G141" s="1077">
        <f t="shared" si="28"/>
        <v>1.2</v>
      </c>
    </row>
    <row r="142" spans="1:7" ht="17.100000000000001" customHeight="1">
      <c r="A142" s="848"/>
      <c r="B142" s="1184"/>
      <c r="C142" s="3080"/>
      <c r="D142" s="3081"/>
      <c r="E142" s="882"/>
      <c r="F142" s="882"/>
      <c r="G142" s="883"/>
    </row>
    <row r="143" spans="1:7" ht="17.100000000000001" customHeight="1">
      <c r="A143" s="848"/>
      <c r="B143" s="1184"/>
      <c r="C143" s="3072" t="s">
        <v>618</v>
      </c>
      <c r="D143" s="3072"/>
      <c r="E143" s="1030">
        <f t="shared" ref="E143:F143" si="29">SUM(E144:E145)</f>
        <v>3081800</v>
      </c>
      <c r="F143" s="1030">
        <f t="shared" si="29"/>
        <v>3350000</v>
      </c>
      <c r="G143" s="1077">
        <f t="shared" si="28"/>
        <v>1.0870270621065612</v>
      </c>
    </row>
    <row r="144" spans="1:7" ht="30.75" customHeight="1">
      <c r="A144" s="848"/>
      <c r="B144" s="1184"/>
      <c r="C144" s="1080" t="s">
        <v>619</v>
      </c>
      <c r="D144" s="1185" t="s">
        <v>620</v>
      </c>
      <c r="E144" s="1030">
        <v>3011800</v>
      </c>
      <c r="F144" s="1030">
        <v>3270000</v>
      </c>
      <c r="G144" s="1077">
        <f t="shared" si="28"/>
        <v>1.0857294641078425</v>
      </c>
    </row>
    <row r="145" spans="1:7" ht="30.75" customHeight="1">
      <c r="A145" s="848"/>
      <c r="B145" s="1184"/>
      <c r="C145" s="1080" t="s">
        <v>475</v>
      </c>
      <c r="D145" s="1185" t="s">
        <v>621</v>
      </c>
      <c r="E145" s="1030">
        <v>70000</v>
      </c>
      <c r="F145" s="1030">
        <v>80000</v>
      </c>
      <c r="G145" s="1077">
        <f t="shared" si="28"/>
        <v>1.1428571428571428</v>
      </c>
    </row>
    <row r="146" spans="1:7" ht="17.100000000000001" customHeight="1">
      <c r="A146" s="848"/>
      <c r="B146" s="2806"/>
      <c r="C146" s="3080"/>
      <c r="D146" s="3081"/>
      <c r="E146" s="882"/>
      <c r="F146" s="882"/>
      <c r="G146" s="883"/>
    </row>
    <row r="147" spans="1:7" ht="17.100000000000001" customHeight="1">
      <c r="A147" s="848"/>
      <c r="B147" s="2806"/>
      <c r="C147" s="3074" t="s">
        <v>574</v>
      </c>
      <c r="D147" s="3074"/>
      <c r="E147" s="1186">
        <f t="shared" ref="E147:F147" si="30">E148</f>
        <v>8264969</v>
      </c>
      <c r="F147" s="1186">
        <f t="shared" si="30"/>
        <v>5980000</v>
      </c>
      <c r="G147" s="1187">
        <f t="shared" si="28"/>
        <v>0.72353568416288072</v>
      </c>
    </row>
    <row r="148" spans="1:7" ht="17.100000000000001" customHeight="1">
      <c r="A148" s="848"/>
      <c r="B148" s="2806"/>
      <c r="C148" s="3075" t="s">
        <v>575</v>
      </c>
      <c r="D148" s="3075"/>
      <c r="E148" s="1030">
        <f t="shared" ref="E148:F148" si="31">SUM(E149:E151)</f>
        <v>8264969</v>
      </c>
      <c r="F148" s="1030">
        <f t="shared" si="31"/>
        <v>5980000</v>
      </c>
      <c r="G148" s="1077">
        <f t="shared" si="28"/>
        <v>0.72353568416288072</v>
      </c>
    </row>
    <row r="149" spans="1:7" ht="17.100000000000001" customHeight="1">
      <c r="A149" s="848"/>
      <c r="B149" s="2806"/>
      <c r="C149" s="1080" t="s">
        <v>576</v>
      </c>
      <c r="D149" s="1185" t="s">
        <v>622</v>
      </c>
      <c r="E149" s="1030">
        <v>73000</v>
      </c>
      <c r="F149" s="1030">
        <v>200000</v>
      </c>
      <c r="G149" s="1077">
        <f t="shared" si="28"/>
        <v>2.7397260273972601</v>
      </c>
    </row>
    <row r="150" spans="1:7" ht="37.5" customHeight="1">
      <c r="A150" s="848"/>
      <c r="B150" s="2806"/>
      <c r="C150" s="1080" t="s">
        <v>623</v>
      </c>
      <c r="D150" s="1185" t="s">
        <v>624</v>
      </c>
      <c r="E150" s="1030">
        <v>8097000</v>
      </c>
      <c r="F150" s="1030">
        <v>5700000</v>
      </c>
      <c r="G150" s="1077">
        <f t="shared" si="28"/>
        <v>0.70396443127084107</v>
      </c>
    </row>
    <row r="151" spans="1:7" ht="39" thickBot="1">
      <c r="A151" s="848"/>
      <c r="B151" s="2806"/>
      <c r="C151" s="1188" t="s">
        <v>625</v>
      </c>
      <c r="D151" s="1189" t="s">
        <v>626</v>
      </c>
      <c r="E151" s="1070">
        <v>94969</v>
      </c>
      <c r="F151" s="1070">
        <v>80000</v>
      </c>
      <c r="G151" s="1071">
        <f t="shared" si="28"/>
        <v>0.84238014509998005</v>
      </c>
    </row>
    <row r="152" spans="1:7" ht="16.5" hidden="1" customHeight="1" thickBot="1">
      <c r="A152" s="848"/>
      <c r="B152" s="1072" t="s">
        <v>252</v>
      </c>
      <c r="C152" s="1073"/>
      <c r="D152" s="1074" t="s">
        <v>253</v>
      </c>
      <c r="E152" s="1075">
        <f>E153</f>
        <v>2500</v>
      </c>
      <c r="F152" s="1075">
        <f t="shared" ref="F152:F154" si="32">F153</f>
        <v>0</v>
      </c>
      <c r="G152" s="1076">
        <f t="shared" si="28"/>
        <v>0</v>
      </c>
    </row>
    <row r="153" spans="1:7" ht="15.75" hidden="1" customHeight="1">
      <c r="A153" s="848"/>
      <c r="B153" s="974"/>
      <c r="C153" s="3074" t="s">
        <v>574</v>
      </c>
      <c r="D153" s="3074"/>
      <c r="E153" s="1190">
        <f>E154</f>
        <v>2500</v>
      </c>
      <c r="F153" s="1190">
        <f t="shared" si="32"/>
        <v>0</v>
      </c>
      <c r="G153" s="1191">
        <f t="shared" si="28"/>
        <v>0</v>
      </c>
    </row>
    <row r="154" spans="1:7" ht="16.5" hidden="1" customHeight="1">
      <c r="A154" s="848"/>
      <c r="B154" s="974"/>
      <c r="C154" s="3075" t="s">
        <v>575</v>
      </c>
      <c r="D154" s="3075"/>
      <c r="E154" s="1030">
        <f>E155</f>
        <v>2500</v>
      </c>
      <c r="F154" s="1030">
        <f t="shared" si="32"/>
        <v>0</v>
      </c>
      <c r="G154" s="1077">
        <f t="shared" si="28"/>
        <v>0</v>
      </c>
    </row>
    <row r="155" spans="1:7" ht="51.75" hidden="1" thickBot="1">
      <c r="A155" s="848"/>
      <c r="B155" s="974"/>
      <c r="C155" s="1064" t="s">
        <v>583</v>
      </c>
      <c r="D155" s="1065" t="s">
        <v>627</v>
      </c>
      <c r="E155" s="970">
        <v>2500</v>
      </c>
      <c r="F155" s="970">
        <v>0</v>
      </c>
      <c r="G155" s="1192">
        <f t="shared" si="28"/>
        <v>0</v>
      </c>
    </row>
    <row r="156" spans="1:7" ht="17.100000000000001" customHeight="1" thickBot="1">
      <c r="A156" s="848"/>
      <c r="B156" s="1072" t="s">
        <v>59</v>
      </c>
      <c r="C156" s="1073"/>
      <c r="D156" s="1074" t="s">
        <v>254</v>
      </c>
      <c r="E156" s="1075">
        <f t="shared" ref="E156:F156" si="33">E157</f>
        <v>5880828</v>
      </c>
      <c r="F156" s="1075">
        <f t="shared" si="33"/>
        <v>5789946</v>
      </c>
      <c r="G156" s="1076">
        <f t="shared" si="28"/>
        <v>0.98454605371896609</v>
      </c>
    </row>
    <row r="157" spans="1:7" ht="17.100000000000001" customHeight="1">
      <c r="A157" s="848"/>
      <c r="B157" s="974"/>
      <c r="C157" s="2802" t="s">
        <v>521</v>
      </c>
      <c r="D157" s="2802"/>
      <c r="E157" s="854">
        <f>E158+E175</f>
        <v>5880828</v>
      </c>
      <c r="F157" s="854">
        <f>F158+F175</f>
        <v>5789946</v>
      </c>
      <c r="G157" s="855">
        <f t="shared" si="28"/>
        <v>0.98454605371896609</v>
      </c>
    </row>
    <row r="158" spans="1:7" ht="17.100000000000001" customHeight="1">
      <c r="A158" s="848"/>
      <c r="B158" s="974"/>
      <c r="C158" s="3072" t="s">
        <v>522</v>
      </c>
      <c r="D158" s="3072"/>
      <c r="E158" s="1030">
        <f>E165+E159</f>
        <v>3880828</v>
      </c>
      <c r="F158" s="1030">
        <f>F165+F159</f>
        <v>2475861</v>
      </c>
      <c r="G158" s="1077">
        <f t="shared" si="28"/>
        <v>0.63797236053749351</v>
      </c>
    </row>
    <row r="159" spans="1:7" ht="17.100000000000001" customHeight="1">
      <c r="A159" s="848"/>
      <c r="B159" s="974"/>
      <c r="C159" s="3076" t="s">
        <v>523</v>
      </c>
      <c r="D159" s="3077"/>
      <c r="E159" s="1044">
        <f>SUM(E160:E163)</f>
        <v>966710</v>
      </c>
      <c r="F159" s="1044">
        <f>SUM(F160:F163)</f>
        <v>986124</v>
      </c>
      <c r="G159" s="1193">
        <f t="shared" si="28"/>
        <v>1.0200825480237092</v>
      </c>
    </row>
    <row r="160" spans="1:7" ht="17.100000000000001" customHeight="1">
      <c r="A160" s="848"/>
      <c r="B160" s="974"/>
      <c r="C160" s="1194" t="s">
        <v>524</v>
      </c>
      <c r="D160" s="1195" t="s">
        <v>525</v>
      </c>
      <c r="E160" s="1030">
        <v>735191</v>
      </c>
      <c r="F160" s="1030">
        <v>815772</v>
      </c>
      <c r="G160" s="1077">
        <f t="shared" si="28"/>
        <v>1.1096055310796786</v>
      </c>
    </row>
    <row r="161" spans="1:7" ht="17.100000000000001" customHeight="1">
      <c r="A161" s="848"/>
      <c r="B161" s="974"/>
      <c r="C161" s="1194" t="s">
        <v>526</v>
      </c>
      <c r="D161" s="1185" t="s">
        <v>527</v>
      </c>
      <c r="E161" s="1030">
        <v>53543</v>
      </c>
      <c r="F161" s="1030">
        <v>45093</v>
      </c>
      <c r="G161" s="1077">
        <f t="shared" si="28"/>
        <v>0.84218291840203197</v>
      </c>
    </row>
    <row r="162" spans="1:7" ht="17.100000000000001" customHeight="1">
      <c r="A162" s="848"/>
      <c r="B162" s="974"/>
      <c r="C162" s="1194" t="s">
        <v>528</v>
      </c>
      <c r="D162" s="1195" t="s">
        <v>529</v>
      </c>
      <c r="E162" s="1030">
        <v>159976</v>
      </c>
      <c r="F162" s="1030">
        <v>109783</v>
      </c>
      <c r="G162" s="1077">
        <f t="shared" si="28"/>
        <v>0.68624668700305047</v>
      </c>
    </row>
    <row r="163" spans="1:7" ht="17.100000000000001" customHeight="1">
      <c r="A163" s="848"/>
      <c r="B163" s="974"/>
      <c r="C163" s="1196" t="s">
        <v>530</v>
      </c>
      <c r="D163" s="1197" t="s">
        <v>531</v>
      </c>
      <c r="E163" s="1030">
        <v>18000</v>
      </c>
      <c r="F163" s="1030">
        <v>15476</v>
      </c>
      <c r="G163" s="1077">
        <f t="shared" si="28"/>
        <v>0.85977777777777775</v>
      </c>
    </row>
    <row r="164" spans="1:7" ht="17.100000000000001" customHeight="1">
      <c r="A164" s="848"/>
      <c r="B164" s="974"/>
      <c r="C164" s="3078"/>
      <c r="D164" s="3079"/>
      <c r="E164" s="1030"/>
      <c r="F164" s="1030"/>
      <c r="G164" s="1077"/>
    </row>
    <row r="165" spans="1:7" ht="17.100000000000001" customHeight="1">
      <c r="A165" s="848"/>
      <c r="B165" s="974"/>
      <c r="C165" s="3071" t="s">
        <v>534</v>
      </c>
      <c r="D165" s="3071"/>
      <c r="E165" s="1030">
        <f>SUM(E166:E173)</f>
        <v>2914118</v>
      </c>
      <c r="F165" s="1030">
        <f>SUM(F166:F173)</f>
        <v>1489737</v>
      </c>
      <c r="G165" s="1077">
        <f t="shared" si="28"/>
        <v>0.51121368455223848</v>
      </c>
    </row>
    <row r="166" spans="1:7" ht="17.100000000000001" hidden="1" customHeight="1">
      <c r="A166" s="848"/>
      <c r="B166" s="974"/>
      <c r="C166" s="1198" t="s">
        <v>535</v>
      </c>
      <c r="D166" s="1199" t="s">
        <v>536</v>
      </c>
      <c r="E166" s="1030">
        <v>18780</v>
      </c>
      <c r="F166" s="1030">
        <v>0</v>
      </c>
      <c r="G166" s="1077">
        <f t="shared" si="28"/>
        <v>0</v>
      </c>
    </row>
    <row r="167" spans="1:7" ht="17.100000000000001" customHeight="1">
      <c r="A167" s="848"/>
      <c r="B167" s="974"/>
      <c r="C167" s="1080" t="s">
        <v>628</v>
      </c>
      <c r="D167" s="1199" t="s">
        <v>602</v>
      </c>
      <c r="E167" s="1030">
        <f>20000+21609</f>
        <v>41609</v>
      </c>
      <c r="F167" s="1030">
        <f>20000+18541</f>
        <v>38541</v>
      </c>
      <c r="G167" s="1077">
        <f t="shared" si="28"/>
        <v>0.92626595207767548</v>
      </c>
    </row>
    <row r="168" spans="1:7" ht="17.100000000000001" customHeight="1">
      <c r="A168" s="848"/>
      <c r="B168" s="974"/>
      <c r="C168" s="1080" t="s">
        <v>537</v>
      </c>
      <c r="D168" s="1199" t="s">
        <v>538</v>
      </c>
      <c r="E168" s="1030">
        <v>15000</v>
      </c>
      <c r="F168" s="1030">
        <v>40000</v>
      </c>
      <c r="G168" s="1077">
        <f t="shared" si="28"/>
        <v>2.6666666666666665</v>
      </c>
    </row>
    <row r="169" spans="1:7" ht="17.100000000000001" customHeight="1">
      <c r="A169" s="848"/>
      <c r="B169" s="860"/>
      <c r="C169" s="1080" t="s">
        <v>547</v>
      </c>
      <c r="D169" s="1185" t="s">
        <v>548</v>
      </c>
      <c r="E169" s="1030">
        <f>6526+479680</f>
        <v>486206</v>
      </c>
      <c r="F169" s="1030">
        <f>994000+191000</f>
        <v>1185000</v>
      </c>
      <c r="G169" s="1077">
        <f t="shared" si="28"/>
        <v>2.4372385367519116</v>
      </c>
    </row>
    <row r="170" spans="1:7" ht="17.100000000000001" customHeight="1">
      <c r="A170" s="848"/>
      <c r="B170" s="860"/>
      <c r="C170" s="1080" t="s">
        <v>551</v>
      </c>
      <c r="D170" s="1185" t="s">
        <v>552</v>
      </c>
      <c r="E170" s="1030">
        <v>235400</v>
      </c>
      <c r="F170" s="1030">
        <v>204000</v>
      </c>
      <c r="G170" s="1077">
        <f t="shared" si="28"/>
        <v>0.86661002548853017</v>
      </c>
    </row>
    <row r="171" spans="1:7" ht="17.100000000000001" customHeight="1">
      <c r="A171" s="848"/>
      <c r="B171" s="860"/>
      <c r="C171" s="1080" t="s">
        <v>559</v>
      </c>
      <c r="D171" s="1185" t="s">
        <v>560</v>
      </c>
      <c r="E171" s="1030">
        <v>0</v>
      </c>
      <c r="F171" s="1030">
        <v>17196</v>
      </c>
      <c r="G171" s="1077"/>
    </row>
    <row r="172" spans="1:7" ht="17.100000000000001" hidden="1" customHeight="1">
      <c r="A172" s="848"/>
      <c r="B172" s="860"/>
      <c r="C172" s="1080" t="s">
        <v>629</v>
      </c>
      <c r="D172" s="1185" t="s">
        <v>630</v>
      </c>
      <c r="E172" s="1030">
        <v>2107123</v>
      </c>
      <c r="F172" s="1030">
        <v>0</v>
      </c>
      <c r="G172" s="1077">
        <f t="shared" si="28"/>
        <v>0</v>
      </c>
    </row>
    <row r="173" spans="1:7" ht="17.100000000000001" customHeight="1">
      <c r="A173" s="848"/>
      <c r="B173" s="860"/>
      <c r="C173" s="1080" t="s">
        <v>631</v>
      </c>
      <c r="D173" s="1185" t="s">
        <v>632</v>
      </c>
      <c r="E173" s="1030">
        <v>10000</v>
      </c>
      <c r="F173" s="1030">
        <v>5000</v>
      </c>
      <c r="G173" s="1077">
        <f t="shared" si="28"/>
        <v>0.5</v>
      </c>
    </row>
    <row r="174" spans="1:7" ht="17.100000000000001" customHeight="1">
      <c r="A174" s="848"/>
      <c r="B174" s="860"/>
      <c r="C174" s="1200"/>
      <c r="D174" s="1200"/>
      <c r="E174" s="1201"/>
      <c r="F174" s="1201"/>
      <c r="G174" s="1202"/>
    </row>
    <row r="175" spans="1:7" ht="17.100000000000001" customHeight="1">
      <c r="A175" s="848"/>
      <c r="B175" s="860"/>
      <c r="C175" s="2924" t="s">
        <v>618</v>
      </c>
      <c r="D175" s="2924"/>
      <c r="E175" s="1190">
        <f t="shared" ref="E175:F175" si="34">E176</f>
        <v>2000000</v>
      </c>
      <c r="F175" s="1190">
        <f t="shared" si="34"/>
        <v>3314085</v>
      </c>
      <c r="G175" s="1191">
        <f t="shared" si="28"/>
        <v>1.6570425</v>
      </c>
    </row>
    <row r="176" spans="1:7" ht="51" customHeight="1" thickBot="1">
      <c r="A176" s="848"/>
      <c r="B176" s="860"/>
      <c r="C176" s="1203" t="s">
        <v>633</v>
      </c>
      <c r="D176" s="1204" t="s">
        <v>634</v>
      </c>
      <c r="E176" s="970">
        <v>2000000</v>
      </c>
      <c r="F176" s="970">
        <v>3314085</v>
      </c>
      <c r="G176" s="1192">
        <f t="shared" si="28"/>
        <v>1.6570425</v>
      </c>
    </row>
    <row r="177" spans="1:7" ht="17.100000000000001" customHeight="1" thickBot="1">
      <c r="A177" s="842" t="s">
        <v>256</v>
      </c>
      <c r="B177" s="1205"/>
      <c r="C177" s="1206"/>
      <c r="D177" s="1207" t="s">
        <v>635</v>
      </c>
      <c r="E177" s="1208">
        <f t="shared" ref="E177:F178" si="35">SUM(E178)</f>
        <v>600447</v>
      </c>
      <c r="F177" s="1208">
        <f t="shared" si="35"/>
        <v>520000</v>
      </c>
      <c r="G177" s="1209">
        <f t="shared" si="28"/>
        <v>0.86602148066357232</v>
      </c>
    </row>
    <row r="178" spans="1:7" ht="42.75" customHeight="1" thickBot="1">
      <c r="A178" s="848"/>
      <c r="B178" s="1072" t="s">
        <v>258</v>
      </c>
      <c r="C178" s="1073"/>
      <c r="D178" s="1074" t="s">
        <v>636</v>
      </c>
      <c r="E178" s="1075">
        <f t="shared" si="35"/>
        <v>600447</v>
      </c>
      <c r="F178" s="1075">
        <f t="shared" si="35"/>
        <v>520000</v>
      </c>
      <c r="G178" s="1076">
        <f t="shared" si="28"/>
        <v>0.86602148066357232</v>
      </c>
    </row>
    <row r="179" spans="1:7" ht="17.100000000000001" customHeight="1">
      <c r="A179" s="848"/>
      <c r="B179" s="2806"/>
      <c r="C179" s="2802" t="s">
        <v>521</v>
      </c>
      <c r="D179" s="2802"/>
      <c r="E179" s="854">
        <f t="shared" ref="E179:F179" si="36">E180</f>
        <v>600447</v>
      </c>
      <c r="F179" s="854">
        <f t="shared" si="36"/>
        <v>520000</v>
      </c>
      <c r="G179" s="855">
        <f t="shared" si="28"/>
        <v>0.86602148066357232</v>
      </c>
    </row>
    <row r="180" spans="1:7" ht="17.100000000000001" customHeight="1">
      <c r="A180" s="848"/>
      <c r="B180" s="2806"/>
      <c r="C180" s="3072" t="s">
        <v>587</v>
      </c>
      <c r="D180" s="3072"/>
      <c r="E180" s="1030">
        <f>SUM(E181:E207)</f>
        <v>600447</v>
      </c>
      <c r="F180" s="1030">
        <f>SUM(F181:F207)</f>
        <v>520000</v>
      </c>
      <c r="G180" s="1077">
        <f t="shared" si="28"/>
        <v>0.86602148066357232</v>
      </c>
    </row>
    <row r="181" spans="1:7" ht="42.75" hidden="1" customHeight="1">
      <c r="A181" s="848"/>
      <c r="B181" s="2806"/>
      <c r="C181" s="1196" t="s">
        <v>637</v>
      </c>
      <c r="D181" s="1210" t="s">
        <v>638</v>
      </c>
      <c r="E181" s="1030">
        <v>300</v>
      </c>
      <c r="F181" s="1030">
        <v>0</v>
      </c>
      <c r="G181" s="1077">
        <f t="shared" si="28"/>
        <v>0</v>
      </c>
    </row>
    <row r="182" spans="1:7" ht="39" hidden="1" customHeight="1">
      <c r="A182" s="848"/>
      <c r="B182" s="2806"/>
      <c r="C182" s="1196" t="s">
        <v>431</v>
      </c>
      <c r="D182" s="1210" t="s">
        <v>638</v>
      </c>
      <c r="E182" s="1030">
        <v>100</v>
      </c>
      <c r="F182" s="1030">
        <v>0</v>
      </c>
      <c r="G182" s="1077">
        <f t="shared" si="28"/>
        <v>0</v>
      </c>
    </row>
    <row r="183" spans="1:7" ht="17.100000000000001" customHeight="1">
      <c r="A183" s="848"/>
      <c r="B183" s="2806"/>
      <c r="C183" s="1080" t="s">
        <v>591</v>
      </c>
      <c r="D183" s="1185" t="s">
        <v>525</v>
      </c>
      <c r="E183" s="1030">
        <v>325500</v>
      </c>
      <c r="F183" s="1030">
        <v>288750</v>
      </c>
      <c r="G183" s="1077">
        <f t="shared" si="28"/>
        <v>0.88709677419354838</v>
      </c>
    </row>
    <row r="184" spans="1:7" ht="17.100000000000001" customHeight="1">
      <c r="A184" s="848"/>
      <c r="B184" s="860"/>
      <c r="C184" s="1080" t="s">
        <v>592</v>
      </c>
      <c r="D184" s="1185" t="s">
        <v>525</v>
      </c>
      <c r="E184" s="1030">
        <v>108500</v>
      </c>
      <c r="F184" s="1030">
        <v>96250</v>
      </c>
      <c r="G184" s="1077">
        <f t="shared" si="28"/>
        <v>0.88709677419354838</v>
      </c>
    </row>
    <row r="185" spans="1:7" ht="17.100000000000001" customHeight="1">
      <c r="A185" s="848"/>
      <c r="B185" s="860"/>
      <c r="C185" s="1080" t="s">
        <v>593</v>
      </c>
      <c r="D185" s="1185" t="s">
        <v>527</v>
      </c>
      <c r="E185" s="1030">
        <v>24000</v>
      </c>
      <c r="F185" s="1030">
        <v>22500</v>
      </c>
      <c r="G185" s="1077">
        <f t="shared" si="28"/>
        <v>0.9375</v>
      </c>
    </row>
    <row r="186" spans="1:7" ht="17.100000000000001" customHeight="1">
      <c r="A186" s="848"/>
      <c r="B186" s="860"/>
      <c r="C186" s="1080" t="s">
        <v>594</v>
      </c>
      <c r="D186" s="1185" t="s">
        <v>527</v>
      </c>
      <c r="E186" s="1030">
        <v>8000</v>
      </c>
      <c r="F186" s="1030">
        <v>7500</v>
      </c>
      <c r="G186" s="1077">
        <f t="shared" si="28"/>
        <v>0.9375</v>
      </c>
    </row>
    <row r="187" spans="1:7" ht="17.100000000000001" customHeight="1">
      <c r="A187" s="848"/>
      <c r="B187" s="860"/>
      <c r="C187" s="1080" t="s">
        <v>595</v>
      </c>
      <c r="D187" s="1185" t="s">
        <v>529</v>
      </c>
      <c r="E187" s="1030">
        <v>60750</v>
      </c>
      <c r="F187" s="1030">
        <v>54000</v>
      </c>
      <c r="G187" s="1077">
        <f t="shared" si="28"/>
        <v>0.88888888888888884</v>
      </c>
    </row>
    <row r="188" spans="1:7" ht="17.100000000000001" customHeight="1">
      <c r="A188" s="848"/>
      <c r="B188" s="860"/>
      <c r="C188" s="1080" t="s">
        <v>596</v>
      </c>
      <c r="D188" s="1185" t="s">
        <v>529</v>
      </c>
      <c r="E188" s="1030">
        <v>20250</v>
      </c>
      <c r="F188" s="1030">
        <v>18000</v>
      </c>
      <c r="G188" s="1077">
        <f t="shared" si="28"/>
        <v>0.88888888888888884</v>
      </c>
    </row>
    <row r="189" spans="1:7" ht="17.100000000000001" customHeight="1">
      <c r="A189" s="848"/>
      <c r="B189" s="860"/>
      <c r="C189" s="1080" t="s">
        <v>597</v>
      </c>
      <c r="D189" s="1185" t="s">
        <v>531</v>
      </c>
      <c r="E189" s="1030">
        <v>8550</v>
      </c>
      <c r="F189" s="1030">
        <v>7500</v>
      </c>
      <c r="G189" s="1077">
        <f t="shared" si="28"/>
        <v>0.8771929824561403</v>
      </c>
    </row>
    <row r="190" spans="1:7" ht="17.100000000000001" customHeight="1">
      <c r="A190" s="848"/>
      <c r="B190" s="860"/>
      <c r="C190" s="1080" t="s">
        <v>598</v>
      </c>
      <c r="D190" s="1185" t="s">
        <v>531</v>
      </c>
      <c r="E190" s="1030">
        <v>2850</v>
      </c>
      <c r="F190" s="1030">
        <v>2500</v>
      </c>
      <c r="G190" s="1077">
        <f t="shared" si="28"/>
        <v>0.8771929824561403</v>
      </c>
    </row>
    <row r="191" spans="1:7" ht="17.100000000000001" hidden="1" customHeight="1">
      <c r="A191" s="848"/>
      <c r="B191" s="860"/>
      <c r="C191" s="1080" t="s">
        <v>599</v>
      </c>
      <c r="D191" s="1185" t="s">
        <v>533</v>
      </c>
      <c r="E191" s="1030">
        <v>450</v>
      </c>
      <c r="F191" s="1030">
        <v>0</v>
      </c>
      <c r="G191" s="1077">
        <f t="shared" si="28"/>
        <v>0</v>
      </c>
    </row>
    <row r="192" spans="1:7" ht="17.100000000000001" hidden="1" customHeight="1">
      <c r="A192" s="848"/>
      <c r="B192" s="860"/>
      <c r="C192" s="1080" t="s">
        <v>600</v>
      </c>
      <c r="D192" s="1185" t="s">
        <v>533</v>
      </c>
      <c r="E192" s="1030">
        <v>150</v>
      </c>
      <c r="F192" s="1030">
        <v>0</v>
      </c>
      <c r="G192" s="1077">
        <f t="shared" si="28"/>
        <v>0</v>
      </c>
    </row>
    <row r="193" spans="1:7" ht="17.100000000000001" customHeight="1">
      <c r="A193" s="848"/>
      <c r="B193" s="860"/>
      <c r="C193" s="1080" t="s">
        <v>604</v>
      </c>
      <c r="D193" s="1185" t="s">
        <v>538</v>
      </c>
      <c r="E193" s="1030">
        <v>5250</v>
      </c>
      <c r="F193" s="1030">
        <v>3000</v>
      </c>
      <c r="G193" s="1077">
        <f t="shared" si="28"/>
        <v>0.5714285714285714</v>
      </c>
    </row>
    <row r="194" spans="1:7" ht="17.100000000000001" customHeight="1">
      <c r="A194" s="848"/>
      <c r="B194" s="860"/>
      <c r="C194" s="1080" t="s">
        <v>605</v>
      </c>
      <c r="D194" s="1185" t="s">
        <v>538</v>
      </c>
      <c r="E194" s="1030">
        <v>1750</v>
      </c>
      <c r="F194" s="1030">
        <v>1000</v>
      </c>
      <c r="G194" s="1077">
        <f t="shared" si="28"/>
        <v>0.5714285714285714</v>
      </c>
    </row>
    <row r="195" spans="1:7" ht="17.100000000000001" customHeight="1">
      <c r="A195" s="848"/>
      <c r="B195" s="860"/>
      <c r="C195" s="1080" t="s">
        <v>606</v>
      </c>
      <c r="D195" s="1185" t="s">
        <v>544</v>
      </c>
      <c r="E195" s="1030">
        <v>1500</v>
      </c>
      <c r="F195" s="1030">
        <v>2250</v>
      </c>
      <c r="G195" s="1077">
        <f t="shared" si="28"/>
        <v>1.5</v>
      </c>
    </row>
    <row r="196" spans="1:7" ht="17.100000000000001" customHeight="1">
      <c r="A196" s="848"/>
      <c r="B196" s="860"/>
      <c r="C196" s="1080" t="s">
        <v>607</v>
      </c>
      <c r="D196" s="1185" t="s">
        <v>544</v>
      </c>
      <c r="E196" s="1030">
        <v>500</v>
      </c>
      <c r="F196" s="1030">
        <v>750</v>
      </c>
      <c r="G196" s="1077">
        <f t="shared" si="28"/>
        <v>1.5</v>
      </c>
    </row>
    <row r="197" spans="1:7" ht="17.100000000000001" customHeight="1">
      <c r="A197" s="848"/>
      <c r="B197" s="860"/>
      <c r="C197" s="1080" t="s">
        <v>608</v>
      </c>
      <c r="D197" s="1185" t="s">
        <v>548</v>
      </c>
      <c r="E197" s="1030">
        <v>7125</v>
      </c>
      <c r="F197" s="1030">
        <v>1500</v>
      </c>
      <c r="G197" s="1077">
        <f t="shared" si="28"/>
        <v>0.21052631578947367</v>
      </c>
    </row>
    <row r="198" spans="1:7" ht="14.25" customHeight="1">
      <c r="A198" s="848"/>
      <c r="B198" s="860"/>
      <c r="C198" s="1080" t="s">
        <v>609</v>
      </c>
      <c r="D198" s="1185" t="s">
        <v>548</v>
      </c>
      <c r="E198" s="1030">
        <v>2375</v>
      </c>
      <c r="F198" s="1030">
        <v>500</v>
      </c>
      <c r="G198" s="1077">
        <f t="shared" si="28"/>
        <v>0.21052631578947367</v>
      </c>
    </row>
    <row r="199" spans="1:7" ht="15.75" hidden="1" customHeight="1">
      <c r="A199" s="848"/>
      <c r="B199" s="860"/>
      <c r="C199" s="1080" t="s">
        <v>610</v>
      </c>
      <c r="D199" s="1185" t="s">
        <v>639</v>
      </c>
      <c r="E199" s="1030">
        <v>1500</v>
      </c>
      <c r="F199" s="1030">
        <v>0</v>
      </c>
      <c r="G199" s="1077">
        <f t="shared" si="28"/>
        <v>0</v>
      </c>
    </row>
    <row r="200" spans="1:7" ht="16.5" hidden="1" customHeight="1">
      <c r="A200" s="848"/>
      <c r="B200" s="860"/>
      <c r="C200" s="1080" t="s">
        <v>611</v>
      </c>
      <c r="D200" s="1185" t="s">
        <v>639</v>
      </c>
      <c r="E200" s="1030">
        <v>500</v>
      </c>
      <c r="F200" s="1030">
        <v>0</v>
      </c>
      <c r="G200" s="1077">
        <f t="shared" si="28"/>
        <v>0</v>
      </c>
    </row>
    <row r="201" spans="1:7" ht="17.100000000000001" customHeight="1">
      <c r="A201" s="848"/>
      <c r="B201" s="860"/>
      <c r="C201" s="1080" t="s">
        <v>612</v>
      </c>
      <c r="D201" s="1185" t="s">
        <v>556</v>
      </c>
      <c r="E201" s="1030">
        <v>9000</v>
      </c>
      <c r="F201" s="1030">
        <v>3750</v>
      </c>
      <c r="G201" s="1077">
        <f t="shared" si="28"/>
        <v>0.41666666666666669</v>
      </c>
    </row>
    <row r="202" spans="1:7" ht="17.100000000000001" customHeight="1">
      <c r="A202" s="848"/>
      <c r="B202" s="860"/>
      <c r="C202" s="1080" t="s">
        <v>613</v>
      </c>
      <c r="D202" s="1185" t="s">
        <v>556</v>
      </c>
      <c r="E202" s="1030">
        <v>3000</v>
      </c>
      <c r="F202" s="1030">
        <v>1250</v>
      </c>
      <c r="G202" s="1077">
        <f t="shared" si="28"/>
        <v>0.41666666666666669</v>
      </c>
    </row>
    <row r="203" spans="1:7" ht="15" customHeight="1">
      <c r="A203" s="848"/>
      <c r="B203" s="860"/>
      <c r="C203" s="1080" t="s">
        <v>614</v>
      </c>
      <c r="D203" s="1185" t="s">
        <v>558</v>
      </c>
      <c r="E203" s="1030">
        <v>375</v>
      </c>
      <c r="F203" s="1030">
        <v>1500</v>
      </c>
      <c r="G203" s="1077">
        <f t="shared" si="28"/>
        <v>4</v>
      </c>
    </row>
    <row r="204" spans="1:7" ht="15" customHeight="1">
      <c r="A204" s="848"/>
      <c r="B204" s="860"/>
      <c r="C204" s="1080" t="s">
        <v>615</v>
      </c>
      <c r="D204" s="1185" t="s">
        <v>558</v>
      </c>
      <c r="E204" s="1030">
        <v>125</v>
      </c>
      <c r="F204" s="1030">
        <v>500</v>
      </c>
      <c r="G204" s="1077">
        <f t="shared" si="28"/>
        <v>4</v>
      </c>
    </row>
    <row r="205" spans="1:7" ht="37.5" hidden="1" customHeight="1">
      <c r="A205" s="848"/>
      <c r="B205" s="860"/>
      <c r="C205" s="1080" t="s">
        <v>640</v>
      </c>
      <c r="D205" s="1185" t="s">
        <v>641</v>
      </c>
      <c r="E205" s="1030">
        <v>47</v>
      </c>
      <c r="F205" s="1030">
        <v>0</v>
      </c>
      <c r="G205" s="1077">
        <f t="shared" si="28"/>
        <v>0</v>
      </c>
    </row>
    <row r="206" spans="1:7" ht="17.100000000000001" customHeight="1">
      <c r="A206" s="848"/>
      <c r="B206" s="860"/>
      <c r="C206" s="1080" t="s">
        <v>616</v>
      </c>
      <c r="D206" s="1185" t="s">
        <v>570</v>
      </c>
      <c r="E206" s="1030">
        <v>6000</v>
      </c>
      <c r="F206" s="1030">
        <v>5250</v>
      </c>
      <c r="G206" s="1077">
        <f t="shared" si="28"/>
        <v>0.875</v>
      </c>
    </row>
    <row r="207" spans="1:7" ht="17.100000000000001" customHeight="1" thickBot="1">
      <c r="A207" s="848"/>
      <c r="B207" s="860"/>
      <c r="C207" s="1211" t="s">
        <v>617</v>
      </c>
      <c r="D207" s="1212" t="s">
        <v>570</v>
      </c>
      <c r="E207" s="1030">
        <v>2000</v>
      </c>
      <c r="F207" s="1030">
        <v>1750</v>
      </c>
      <c r="G207" s="1077">
        <f t="shared" si="28"/>
        <v>0.875</v>
      </c>
    </row>
    <row r="208" spans="1:7" ht="17.100000000000001" customHeight="1" thickBot="1">
      <c r="A208" s="842" t="s">
        <v>266</v>
      </c>
      <c r="B208" s="1205"/>
      <c r="C208" s="1213"/>
      <c r="D208" s="1214" t="s">
        <v>642</v>
      </c>
      <c r="E208" s="1208">
        <f>E209</f>
        <v>21951814</v>
      </c>
      <c r="F208" s="1208">
        <f t="shared" ref="F208" si="37">F209</f>
        <v>25403053</v>
      </c>
      <c r="G208" s="1209">
        <f t="shared" ref="G208:G273" si="38">F208/E208</f>
        <v>1.1572188521641082</v>
      </c>
    </row>
    <row r="209" spans="1:7" ht="17.100000000000001" customHeight="1" thickBot="1">
      <c r="A209" s="848"/>
      <c r="B209" s="1072" t="s">
        <v>268</v>
      </c>
      <c r="C209" s="1073"/>
      <c r="D209" s="1074" t="s">
        <v>269</v>
      </c>
      <c r="E209" s="1075">
        <f>E210+E229</f>
        <v>21951814</v>
      </c>
      <c r="F209" s="1075">
        <f t="shared" ref="F209" si="39">F210+F229</f>
        <v>25403053</v>
      </c>
      <c r="G209" s="1076">
        <f t="shared" si="38"/>
        <v>1.1572188521641082</v>
      </c>
    </row>
    <row r="210" spans="1:7" ht="17.100000000000001" customHeight="1">
      <c r="A210" s="848"/>
      <c r="B210" s="2806"/>
      <c r="C210" s="2802" t="s">
        <v>521</v>
      </c>
      <c r="D210" s="2802"/>
      <c r="E210" s="854">
        <f>E211+E217</f>
        <v>13214298</v>
      </c>
      <c r="F210" s="854">
        <f t="shared" ref="F210" si="40">F211+F217</f>
        <v>14010021</v>
      </c>
      <c r="G210" s="855">
        <f t="shared" si="38"/>
        <v>1.0602168196903081</v>
      </c>
    </row>
    <row r="211" spans="1:7" ht="17.100000000000001" customHeight="1">
      <c r="A211" s="848"/>
      <c r="B211" s="2806"/>
      <c r="C211" s="3073" t="s">
        <v>618</v>
      </c>
      <c r="D211" s="3073"/>
      <c r="E211" s="958">
        <f>SUM(E212:E215)</f>
        <v>4555298</v>
      </c>
      <c r="F211" s="958">
        <f t="shared" ref="F211" si="41">SUM(F212:F215)</f>
        <v>5350021</v>
      </c>
      <c r="G211" s="959">
        <f t="shared" si="38"/>
        <v>1.1744612536874646</v>
      </c>
    </row>
    <row r="212" spans="1:7" ht="63.75">
      <c r="A212" s="848"/>
      <c r="B212" s="2806"/>
      <c r="C212" s="987" t="s">
        <v>460</v>
      </c>
      <c r="D212" s="1215" t="s">
        <v>643</v>
      </c>
      <c r="E212" s="1216">
        <v>4070224</v>
      </c>
      <c r="F212" s="1216">
        <v>5350021</v>
      </c>
      <c r="G212" s="1217">
        <f t="shared" si="38"/>
        <v>1.3144291321558714</v>
      </c>
    </row>
    <row r="213" spans="1:7" ht="63.75" hidden="1">
      <c r="A213" s="848"/>
      <c r="B213" s="2806"/>
      <c r="C213" s="1218" t="s">
        <v>328</v>
      </c>
      <c r="D213" s="1219" t="s">
        <v>590</v>
      </c>
      <c r="E213" s="1220">
        <v>0</v>
      </c>
      <c r="F213" s="1220">
        <v>0</v>
      </c>
      <c r="G213" s="1221" t="e">
        <f t="shared" si="38"/>
        <v>#DIV/0!</v>
      </c>
    </row>
    <row r="214" spans="1:7" ht="51" hidden="1">
      <c r="A214" s="848"/>
      <c r="B214" s="974"/>
      <c r="C214" s="1222" t="s">
        <v>431</v>
      </c>
      <c r="D214" s="1223" t="s">
        <v>644</v>
      </c>
      <c r="E214" s="1220">
        <f>7158+395</f>
        <v>7553</v>
      </c>
      <c r="F214" s="1220">
        <v>0</v>
      </c>
      <c r="G214" s="1224">
        <f t="shared" si="38"/>
        <v>0</v>
      </c>
    </row>
    <row r="215" spans="1:7" ht="16.5" hidden="1" customHeight="1">
      <c r="A215" s="848"/>
      <c r="B215" s="974"/>
      <c r="C215" s="1225" t="s">
        <v>432</v>
      </c>
      <c r="D215" s="1226" t="s">
        <v>645</v>
      </c>
      <c r="E215" s="1220">
        <v>477521</v>
      </c>
      <c r="F215" s="1220">
        <v>0</v>
      </c>
      <c r="G215" s="1224">
        <f t="shared" si="38"/>
        <v>0</v>
      </c>
    </row>
    <row r="216" spans="1:7" ht="17.100000000000001" customHeight="1">
      <c r="A216" s="848"/>
      <c r="B216" s="974"/>
      <c r="C216" s="1227"/>
      <c r="D216" s="1228"/>
      <c r="E216" s="1229"/>
      <c r="F216" s="1229"/>
      <c r="G216" s="1230"/>
    </row>
    <row r="217" spans="1:7" ht="17.100000000000001" customHeight="1">
      <c r="A217" s="848"/>
      <c r="B217" s="974"/>
      <c r="C217" s="2924" t="s">
        <v>587</v>
      </c>
      <c r="D217" s="2924"/>
      <c r="E217" s="1231">
        <f>SUM(E218:E227)</f>
        <v>8659000</v>
      </c>
      <c r="F217" s="1231">
        <f t="shared" ref="F217" si="42">SUM(F218:F227)</f>
        <v>8660000</v>
      </c>
      <c r="G217" s="1232">
        <f t="shared" si="38"/>
        <v>1.0001154867767641</v>
      </c>
    </row>
    <row r="218" spans="1:7" ht="52.5" customHeight="1">
      <c r="A218" s="848"/>
      <c r="B218" s="974"/>
      <c r="C218" s="1233" t="s">
        <v>470</v>
      </c>
      <c r="D218" s="1234" t="s">
        <v>643</v>
      </c>
      <c r="E218" s="1235">
        <v>8216400</v>
      </c>
      <c r="F218" s="1235">
        <v>8359400</v>
      </c>
      <c r="G218" s="1230">
        <f t="shared" si="38"/>
        <v>1.0174042159583272</v>
      </c>
    </row>
    <row r="219" spans="1:7" ht="16.5" hidden="1" customHeight="1">
      <c r="A219" s="848"/>
      <c r="B219" s="974"/>
      <c r="C219" s="1233" t="s">
        <v>646</v>
      </c>
      <c r="D219" s="1236" t="s">
        <v>645</v>
      </c>
      <c r="E219" s="1235">
        <v>40000</v>
      </c>
      <c r="F219" s="1235">
        <v>0</v>
      </c>
      <c r="G219" s="1230">
        <f t="shared" si="38"/>
        <v>0</v>
      </c>
    </row>
    <row r="220" spans="1:7" ht="17.100000000000001" customHeight="1">
      <c r="A220" s="848"/>
      <c r="B220" s="974"/>
      <c r="C220" s="1237" t="s">
        <v>647</v>
      </c>
      <c r="D220" s="1238" t="s">
        <v>525</v>
      </c>
      <c r="E220" s="1235">
        <v>132187</v>
      </c>
      <c r="F220" s="1235">
        <v>100487</v>
      </c>
      <c r="G220" s="1230">
        <f t="shared" si="38"/>
        <v>0.76018821820602633</v>
      </c>
    </row>
    <row r="221" spans="1:7" ht="17.100000000000001" customHeight="1">
      <c r="A221" s="848"/>
      <c r="B221" s="974"/>
      <c r="C221" s="1237" t="s">
        <v>648</v>
      </c>
      <c r="D221" s="1238" t="s">
        <v>527</v>
      </c>
      <c r="E221" s="1235">
        <v>0</v>
      </c>
      <c r="F221" s="1235">
        <v>8000</v>
      </c>
      <c r="G221" s="1230"/>
    </row>
    <row r="222" spans="1:7" ht="17.100000000000001" customHeight="1">
      <c r="A222" s="848"/>
      <c r="B222" s="974"/>
      <c r="C222" s="1239" t="s">
        <v>649</v>
      </c>
      <c r="D222" s="1238" t="s">
        <v>529</v>
      </c>
      <c r="E222" s="1235">
        <v>22974</v>
      </c>
      <c r="F222" s="1235">
        <v>18855</v>
      </c>
      <c r="G222" s="1230">
        <f t="shared" si="38"/>
        <v>0.82071036824236088</v>
      </c>
    </row>
    <row r="223" spans="1:7" ht="17.100000000000001" customHeight="1">
      <c r="A223" s="848"/>
      <c r="B223" s="974"/>
      <c r="C223" s="1239" t="s">
        <v>650</v>
      </c>
      <c r="D223" s="1240" t="s">
        <v>531</v>
      </c>
      <c r="E223" s="1235">
        <v>3239</v>
      </c>
      <c r="F223" s="1235">
        <v>2658</v>
      </c>
      <c r="G223" s="1230">
        <f t="shared" si="38"/>
        <v>0.8206236492744674</v>
      </c>
    </row>
    <row r="224" spans="1:7" ht="17.100000000000001" customHeight="1">
      <c r="A224" s="848"/>
      <c r="B224" s="974"/>
      <c r="C224" s="1239" t="s">
        <v>651</v>
      </c>
      <c r="D224" s="1240" t="s">
        <v>538</v>
      </c>
      <c r="E224" s="1235">
        <v>32718</v>
      </c>
      <c r="F224" s="1235">
        <v>30000</v>
      </c>
      <c r="G224" s="1230">
        <f t="shared" si="38"/>
        <v>0.91692646249770771</v>
      </c>
    </row>
    <row r="225" spans="1:7" ht="17.100000000000001" customHeight="1">
      <c r="A225" s="848"/>
      <c r="B225" s="974"/>
      <c r="C225" s="1239" t="s">
        <v>652</v>
      </c>
      <c r="D225" s="1240" t="s">
        <v>548</v>
      </c>
      <c r="E225" s="1235">
        <v>188282</v>
      </c>
      <c r="F225" s="1235">
        <v>140600</v>
      </c>
      <c r="G225" s="1230">
        <f t="shared" si="38"/>
        <v>0.74675221210737086</v>
      </c>
    </row>
    <row r="226" spans="1:7" ht="17.100000000000001" hidden="1" customHeight="1">
      <c r="A226" s="848"/>
      <c r="B226" s="974"/>
      <c r="C226" s="1239" t="s">
        <v>653</v>
      </c>
      <c r="D226" s="1240" t="s">
        <v>556</v>
      </c>
      <c r="E226" s="1235">
        <v>7200</v>
      </c>
      <c r="F226" s="1235">
        <v>0</v>
      </c>
      <c r="G226" s="1230">
        <f t="shared" si="38"/>
        <v>0</v>
      </c>
    </row>
    <row r="227" spans="1:7" ht="17.100000000000001" hidden="1" customHeight="1">
      <c r="A227" s="848"/>
      <c r="B227" s="974"/>
      <c r="C227" s="1239" t="s">
        <v>654</v>
      </c>
      <c r="D227" s="1240" t="s">
        <v>570</v>
      </c>
      <c r="E227" s="1235">
        <v>16000</v>
      </c>
      <c r="F227" s="1235">
        <v>0</v>
      </c>
      <c r="G227" s="1230">
        <f t="shared" si="38"/>
        <v>0</v>
      </c>
    </row>
    <row r="228" spans="1:7" ht="17.100000000000001" customHeight="1">
      <c r="A228" s="848"/>
      <c r="B228" s="974"/>
      <c r="C228" s="3067"/>
      <c r="D228" s="3067"/>
      <c r="E228" s="1241"/>
      <c r="F228" s="1241"/>
      <c r="G228" s="1242"/>
    </row>
    <row r="229" spans="1:7" ht="17.100000000000001" customHeight="1">
      <c r="A229" s="848"/>
      <c r="B229" s="974"/>
      <c r="C229" s="2804" t="s">
        <v>574</v>
      </c>
      <c r="D229" s="2804"/>
      <c r="E229" s="854">
        <f t="shared" ref="E229:F229" si="43">E230</f>
        <v>8737516</v>
      </c>
      <c r="F229" s="854">
        <f t="shared" si="43"/>
        <v>11393032</v>
      </c>
      <c r="G229" s="855">
        <f t="shared" si="38"/>
        <v>1.303921160201595</v>
      </c>
    </row>
    <row r="230" spans="1:7" ht="17.100000000000001" customHeight="1">
      <c r="A230" s="848"/>
      <c r="B230" s="974"/>
      <c r="C230" s="3068" t="s">
        <v>575</v>
      </c>
      <c r="D230" s="3053"/>
      <c r="E230" s="958">
        <f>SUM(E231:E239)</f>
        <v>8737516</v>
      </c>
      <c r="F230" s="958">
        <f t="shared" ref="F230" si="44">SUM(F231:F239)</f>
        <v>11393032</v>
      </c>
      <c r="G230" s="1243">
        <f t="shared" si="38"/>
        <v>1.303921160201595</v>
      </c>
    </row>
    <row r="231" spans="1:7" ht="16.5" hidden="1" customHeight="1">
      <c r="A231" s="848"/>
      <c r="B231" s="974"/>
      <c r="C231" s="1244" t="s">
        <v>655</v>
      </c>
      <c r="D231" s="1240" t="s">
        <v>622</v>
      </c>
      <c r="E231" s="958">
        <v>41000</v>
      </c>
      <c r="F231" s="958">
        <v>0</v>
      </c>
      <c r="G231" s="1243">
        <f t="shared" si="38"/>
        <v>0</v>
      </c>
    </row>
    <row r="232" spans="1:7" ht="54" hidden="1" customHeight="1">
      <c r="A232" s="848"/>
      <c r="B232" s="974"/>
      <c r="C232" s="1244" t="s">
        <v>656</v>
      </c>
      <c r="D232" s="1240" t="s">
        <v>657</v>
      </c>
      <c r="E232" s="958">
        <v>250000</v>
      </c>
      <c r="F232" s="958">
        <v>0</v>
      </c>
      <c r="G232" s="1243">
        <f t="shared" si="38"/>
        <v>0</v>
      </c>
    </row>
    <row r="233" spans="1:7" ht="63" customHeight="1" thickBot="1">
      <c r="A233" s="848"/>
      <c r="B233" s="974"/>
      <c r="C233" s="1244" t="s">
        <v>658</v>
      </c>
      <c r="D233" s="1240" t="s">
        <v>657</v>
      </c>
      <c r="E233" s="958">
        <v>5696516</v>
      </c>
      <c r="F233" s="958">
        <v>11393032</v>
      </c>
      <c r="G233" s="1243">
        <f t="shared" si="38"/>
        <v>2</v>
      </c>
    </row>
    <row r="234" spans="1:7" ht="64.5" hidden="1" thickBot="1">
      <c r="A234" s="848"/>
      <c r="B234" s="860"/>
      <c r="C234" s="1057" t="s">
        <v>659</v>
      </c>
      <c r="D234" s="1210" t="s">
        <v>660</v>
      </c>
      <c r="E234" s="958">
        <v>2500000</v>
      </c>
      <c r="F234" s="958">
        <v>0</v>
      </c>
      <c r="G234" s="1243">
        <f t="shared" si="38"/>
        <v>0</v>
      </c>
    </row>
    <row r="235" spans="1:7" ht="17.100000000000001" hidden="1" customHeight="1">
      <c r="A235" s="848"/>
      <c r="B235" s="1245"/>
      <c r="C235" s="1246"/>
      <c r="D235" s="1247" t="s">
        <v>661</v>
      </c>
      <c r="E235" s="1248"/>
      <c r="F235" s="958">
        <v>0</v>
      </c>
      <c r="G235" s="1243" t="e">
        <f t="shared" si="38"/>
        <v>#DIV/0!</v>
      </c>
    </row>
    <row r="236" spans="1:7" ht="17.100000000000001" hidden="1" customHeight="1">
      <c r="A236" s="848"/>
      <c r="B236" s="2806"/>
      <c r="C236" s="3070" t="s">
        <v>521</v>
      </c>
      <c r="D236" s="3070"/>
      <c r="E236" s="964"/>
      <c r="F236" s="958">
        <v>0</v>
      </c>
      <c r="G236" s="1243" t="e">
        <f t="shared" si="38"/>
        <v>#DIV/0!</v>
      </c>
    </row>
    <row r="237" spans="1:7" ht="17.100000000000001" hidden="1" customHeight="1">
      <c r="A237" s="848"/>
      <c r="B237" s="2806"/>
      <c r="C237" s="3051" t="s">
        <v>618</v>
      </c>
      <c r="D237" s="3051"/>
      <c r="E237" s="958"/>
      <c r="F237" s="958">
        <v>0</v>
      </c>
      <c r="G237" s="1243" t="e">
        <f t="shared" si="38"/>
        <v>#DIV/0!</v>
      </c>
    </row>
    <row r="238" spans="1:7" ht="40.5" hidden="1" customHeight="1">
      <c r="A238" s="848"/>
      <c r="B238" s="3069"/>
      <c r="C238" s="1239" t="s">
        <v>460</v>
      </c>
      <c r="D238" s="1240" t="s">
        <v>662</v>
      </c>
      <c r="E238" s="958"/>
      <c r="F238" s="958">
        <v>0</v>
      </c>
      <c r="G238" s="1243" t="e">
        <f t="shared" si="38"/>
        <v>#DIV/0!</v>
      </c>
    </row>
    <row r="239" spans="1:7" ht="15" hidden="1" customHeight="1">
      <c r="A239" s="848"/>
      <c r="B239" s="974"/>
      <c r="C239" s="1249" t="s">
        <v>663</v>
      </c>
      <c r="D239" s="1250" t="s">
        <v>645</v>
      </c>
      <c r="E239" s="958">
        <v>250000</v>
      </c>
      <c r="F239" s="958">
        <v>0</v>
      </c>
      <c r="G239" s="1243">
        <f t="shared" si="38"/>
        <v>0</v>
      </c>
    </row>
    <row r="240" spans="1:7" ht="13.5" hidden="1" thickBot="1">
      <c r="A240" s="848"/>
      <c r="B240" s="974"/>
      <c r="C240" s="1251"/>
      <c r="D240" s="1250"/>
      <c r="E240" s="958"/>
      <c r="F240" s="958"/>
      <c r="G240" s="1243"/>
    </row>
    <row r="241" spans="1:7" ht="15.75" hidden="1" thickBot="1">
      <c r="A241" s="848"/>
      <c r="B241" s="974"/>
      <c r="C241" s="3055" t="s">
        <v>585</v>
      </c>
      <c r="D241" s="3056"/>
      <c r="E241" s="958">
        <f>SUM(E242:E244)</f>
        <v>541000</v>
      </c>
      <c r="F241" s="958">
        <f t="shared" ref="F241" si="45">SUM(F242:F244)</f>
        <v>0</v>
      </c>
      <c r="G241" s="1243">
        <f t="shared" si="38"/>
        <v>0</v>
      </c>
    </row>
    <row r="242" spans="1:7" ht="16.5" hidden="1" customHeight="1">
      <c r="A242" s="848"/>
      <c r="B242" s="974"/>
      <c r="C242" s="1244" t="s">
        <v>655</v>
      </c>
      <c r="D242" s="1240" t="s">
        <v>622</v>
      </c>
      <c r="E242" s="1220">
        <v>41000</v>
      </c>
      <c r="F242" s="1220">
        <v>0</v>
      </c>
      <c r="G242" s="1224">
        <f t="shared" si="38"/>
        <v>0</v>
      </c>
    </row>
    <row r="243" spans="1:7" ht="64.5" hidden="1" thickBot="1">
      <c r="A243" s="848"/>
      <c r="B243" s="974"/>
      <c r="C243" s="1244" t="s">
        <v>656</v>
      </c>
      <c r="D243" s="1240" t="s">
        <v>657</v>
      </c>
      <c r="E243" s="958">
        <v>250000</v>
      </c>
      <c r="F243" s="958">
        <v>0</v>
      </c>
      <c r="G243" s="1243">
        <f t="shared" si="38"/>
        <v>0</v>
      </c>
    </row>
    <row r="244" spans="1:7" ht="18.75" hidden="1" customHeight="1" thickBot="1">
      <c r="A244" s="848"/>
      <c r="B244" s="974"/>
      <c r="C244" s="1249" t="s">
        <v>663</v>
      </c>
      <c r="D244" s="1250" t="s">
        <v>645</v>
      </c>
      <c r="E244" s="962">
        <v>250000</v>
      </c>
      <c r="F244" s="962">
        <v>0</v>
      </c>
      <c r="G244" s="963">
        <f t="shared" si="38"/>
        <v>0</v>
      </c>
    </row>
    <row r="245" spans="1:7" ht="17.100000000000001" customHeight="1" thickBot="1">
      <c r="A245" s="842" t="s">
        <v>664</v>
      </c>
      <c r="B245" s="1205"/>
      <c r="C245" s="1206"/>
      <c r="D245" s="1207" t="s">
        <v>665</v>
      </c>
      <c r="E245" s="1208">
        <f t="shared" ref="E245:F247" si="46">E246</f>
        <v>242532</v>
      </c>
      <c r="F245" s="1208">
        <f t="shared" si="46"/>
        <v>244032</v>
      </c>
      <c r="G245" s="1209">
        <f t="shared" si="38"/>
        <v>1.0061847508782347</v>
      </c>
    </row>
    <row r="246" spans="1:7" ht="17.100000000000001" customHeight="1" thickBot="1">
      <c r="A246" s="848"/>
      <c r="B246" s="1072" t="s">
        <v>666</v>
      </c>
      <c r="C246" s="1073"/>
      <c r="D246" s="1074" t="s">
        <v>667</v>
      </c>
      <c r="E246" s="1075">
        <f t="shared" si="46"/>
        <v>242532</v>
      </c>
      <c r="F246" s="1075">
        <f t="shared" si="46"/>
        <v>244032</v>
      </c>
      <c r="G246" s="1076">
        <f t="shared" si="38"/>
        <v>1.0061847508782347</v>
      </c>
    </row>
    <row r="247" spans="1:7" ht="17.100000000000001" customHeight="1">
      <c r="A247" s="848"/>
      <c r="B247" s="2806"/>
      <c r="C247" s="2802" t="s">
        <v>521</v>
      </c>
      <c r="D247" s="2802"/>
      <c r="E247" s="854">
        <f t="shared" si="46"/>
        <v>242532</v>
      </c>
      <c r="F247" s="854">
        <f t="shared" si="46"/>
        <v>244032</v>
      </c>
      <c r="G247" s="855">
        <f t="shared" si="38"/>
        <v>1.0061847508782347</v>
      </c>
    </row>
    <row r="248" spans="1:7" ht="17.100000000000001" customHeight="1">
      <c r="A248" s="848"/>
      <c r="B248" s="2806"/>
      <c r="C248" s="3063" t="s">
        <v>522</v>
      </c>
      <c r="D248" s="3064"/>
      <c r="E248" s="958">
        <f>E249+E255</f>
        <v>242532</v>
      </c>
      <c r="F248" s="958">
        <f t="shared" ref="F248" si="47">F249+F255</f>
        <v>244032</v>
      </c>
      <c r="G248" s="1243">
        <f t="shared" si="38"/>
        <v>1.0061847508782347</v>
      </c>
    </row>
    <row r="249" spans="1:7" ht="17.100000000000001" customHeight="1">
      <c r="A249" s="848"/>
      <c r="B249" s="2806"/>
      <c r="C249" s="3065" t="s">
        <v>523</v>
      </c>
      <c r="D249" s="3066"/>
      <c r="E249" s="1252">
        <f>SUM(E250:E253)</f>
        <v>238032</v>
      </c>
      <c r="F249" s="1252">
        <f t="shared" ref="F249" si="48">SUM(F250:F253)</f>
        <v>240032</v>
      </c>
      <c r="G249" s="1253">
        <f t="shared" si="38"/>
        <v>1.0084022316327217</v>
      </c>
    </row>
    <row r="250" spans="1:7" ht="17.100000000000001" customHeight="1">
      <c r="A250" s="848"/>
      <c r="B250" s="2806"/>
      <c r="C250" s="1237" t="s">
        <v>524</v>
      </c>
      <c r="D250" s="1238" t="s">
        <v>525</v>
      </c>
      <c r="E250" s="958">
        <v>181013</v>
      </c>
      <c r="F250" s="958">
        <v>184018</v>
      </c>
      <c r="G250" s="1243">
        <f t="shared" si="38"/>
        <v>1.0166010176064701</v>
      </c>
    </row>
    <row r="251" spans="1:7" ht="17.100000000000001" customHeight="1">
      <c r="A251" s="848"/>
      <c r="B251" s="2806"/>
      <c r="C251" s="1237" t="s">
        <v>526</v>
      </c>
      <c r="D251" s="1240" t="s">
        <v>527</v>
      </c>
      <c r="E251" s="958">
        <v>14380</v>
      </c>
      <c r="F251" s="958">
        <v>15514</v>
      </c>
      <c r="G251" s="1243">
        <f t="shared" si="38"/>
        <v>1.0788595271210013</v>
      </c>
    </row>
    <row r="252" spans="1:7" ht="17.100000000000001" customHeight="1">
      <c r="A252" s="848"/>
      <c r="B252" s="2806"/>
      <c r="C252" s="1237" t="s">
        <v>528</v>
      </c>
      <c r="D252" s="1238" t="s">
        <v>529</v>
      </c>
      <c r="E252" s="958">
        <v>37210</v>
      </c>
      <c r="F252" s="958">
        <v>36000</v>
      </c>
      <c r="G252" s="1243">
        <f t="shared" si="38"/>
        <v>0.96748185971513034</v>
      </c>
    </row>
    <row r="253" spans="1:7" ht="14.25" customHeight="1">
      <c r="A253" s="848"/>
      <c r="B253" s="2806"/>
      <c r="C253" s="1237" t="s">
        <v>530</v>
      </c>
      <c r="D253" s="1240" t="s">
        <v>531</v>
      </c>
      <c r="E253" s="958">
        <v>5429</v>
      </c>
      <c r="F253" s="958">
        <v>4500</v>
      </c>
      <c r="G253" s="1243">
        <f t="shared" si="38"/>
        <v>0.82888193037391789</v>
      </c>
    </row>
    <row r="254" spans="1:7" ht="14.25" customHeight="1">
      <c r="A254" s="848"/>
      <c r="B254" s="974"/>
      <c r="C254" s="1237"/>
      <c r="D254" s="1238"/>
      <c r="E254" s="958"/>
      <c r="F254" s="958"/>
      <c r="G254" s="1243"/>
    </row>
    <row r="255" spans="1:7" ht="14.25" customHeight="1">
      <c r="A255" s="848"/>
      <c r="B255" s="974"/>
      <c r="C255" s="3055" t="s">
        <v>534</v>
      </c>
      <c r="D255" s="3055"/>
      <c r="E255" s="1252">
        <f>SUM(E256:E256)</f>
        <v>4500</v>
      </c>
      <c r="F255" s="1252">
        <f t="shared" ref="F255" si="49">SUM(F256:F256)</f>
        <v>4000</v>
      </c>
      <c r="G255" s="1253">
        <f t="shared" si="38"/>
        <v>0.88888888888888884</v>
      </c>
    </row>
    <row r="256" spans="1:7" ht="17.25" customHeight="1" thickBot="1">
      <c r="A256" s="1254"/>
      <c r="B256" s="1255"/>
      <c r="C256" s="1239" t="s">
        <v>547</v>
      </c>
      <c r="D256" s="1240" t="s">
        <v>548</v>
      </c>
      <c r="E256" s="958">
        <v>4500</v>
      </c>
      <c r="F256" s="958">
        <v>4000</v>
      </c>
      <c r="G256" s="1243">
        <f t="shared" si="38"/>
        <v>0.88888888888888884</v>
      </c>
    </row>
    <row r="257" spans="1:7" ht="17.100000000000001" customHeight="1" thickBot="1">
      <c r="A257" s="842" t="s">
        <v>4</v>
      </c>
      <c r="B257" s="1205"/>
      <c r="C257" s="1206"/>
      <c r="D257" s="1207" t="s">
        <v>668</v>
      </c>
      <c r="E257" s="1208">
        <f>SUM(E258,E280,E301,E305,E310,E368,E384,E376,E380)</f>
        <v>875342319</v>
      </c>
      <c r="F257" s="1208">
        <f t="shared" ref="F257" si="50">SUM(F258,F280,F301,F305,F310,F368,F384,F376,F380)</f>
        <v>711821272</v>
      </c>
      <c r="G257" s="1209">
        <f t="shared" si="38"/>
        <v>0.81319188681885268</v>
      </c>
    </row>
    <row r="258" spans="1:7" ht="17.100000000000001" customHeight="1" thickBot="1">
      <c r="A258" s="848"/>
      <c r="B258" s="1072" t="s">
        <v>60</v>
      </c>
      <c r="C258" s="1073"/>
      <c r="D258" s="1074" t="s">
        <v>274</v>
      </c>
      <c r="E258" s="1075">
        <f>E259+E270</f>
        <v>171966706</v>
      </c>
      <c r="F258" s="1075">
        <f t="shared" ref="F258" si="51">F259+F270</f>
        <v>80992401</v>
      </c>
      <c r="G258" s="1076">
        <f t="shared" si="38"/>
        <v>0.47097721927638714</v>
      </c>
    </row>
    <row r="259" spans="1:7" ht="17.100000000000001" customHeight="1">
      <c r="A259" s="848"/>
      <c r="B259" s="3057"/>
      <c r="C259" s="2802" t="s">
        <v>521</v>
      </c>
      <c r="D259" s="2802"/>
      <c r="E259" s="854">
        <f>E260+E266</f>
        <v>64464706</v>
      </c>
      <c r="F259" s="854">
        <f t="shared" ref="F259" si="52">F260+F266</f>
        <v>69744307</v>
      </c>
      <c r="G259" s="855">
        <f t="shared" si="38"/>
        <v>1.0818990937459638</v>
      </c>
    </row>
    <row r="260" spans="1:7" ht="17.100000000000001" customHeight="1">
      <c r="A260" s="848"/>
      <c r="B260" s="3057"/>
      <c r="C260" s="3051" t="s">
        <v>522</v>
      </c>
      <c r="D260" s="3051"/>
      <c r="E260" s="958">
        <f>E261</f>
        <v>67955</v>
      </c>
      <c r="F260" s="958">
        <f t="shared" ref="F260" si="53">F261</f>
        <v>5996339</v>
      </c>
      <c r="G260" s="1243">
        <f t="shared" si="38"/>
        <v>88.239849900669554</v>
      </c>
    </row>
    <row r="261" spans="1:7" ht="17.100000000000001" customHeight="1">
      <c r="A261" s="848"/>
      <c r="B261" s="3057"/>
      <c r="C261" s="3055" t="s">
        <v>534</v>
      </c>
      <c r="D261" s="3055"/>
      <c r="E261" s="1252">
        <f>SUM(E262:E264)</f>
        <v>67955</v>
      </c>
      <c r="F261" s="1252">
        <f>SUM(F262:F264)</f>
        <v>5996339</v>
      </c>
      <c r="G261" s="1253">
        <f t="shared" si="38"/>
        <v>88.239849900669554</v>
      </c>
    </row>
    <row r="262" spans="1:7" ht="17.100000000000001" customHeight="1">
      <c r="A262" s="848"/>
      <c r="B262" s="3057"/>
      <c r="C262" s="1239" t="s">
        <v>543</v>
      </c>
      <c r="D262" s="1240" t="s">
        <v>544</v>
      </c>
      <c r="E262" s="958">
        <v>47355</v>
      </c>
      <c r="F262" s="958">
        <v>5946339</v>
      </c>
      <c r="G262" s="1243">
        <f t="shared" si="38"/>
        <v>125.56940133037693</v>
      </c>
    </row>
    <row r="263" spans="1:7" ht="17.100000000000001" customHeight="1">
      <c r="A263" s="848"/>
      <c r="B263" s="3057"/>
      <c r="C263" s="1239" t="s">
        <v>551</v>
      </c>
      <c r="D263" s="1240" t="s">
        <v>552</v>
      </c>
      <c r="E263" s="958">
        <v>20488</v>
      </c>
      <c r="F263" s="958">
        <f>71012-21012</f>
        <v>50000</v>
      </c>
      <c r="G263" s="1243">
        <f t="shared" si="38"/>
        <v>2.4404529480671613</v>
      </c>
    </row>
    <row r="264" spans="1:7" ht="17.100000000000001" hidden="1" customHeight="1">
      <c r="A264" s="848"/>
      <c r="B264" s="3057"/>
      <c r="C264" s="1256" t="s">
        <v>669</v>
      </c>
      <c r="D264" s="1257" t="s">
        <v>670</v>
      </c>
      <c r="E264" s="1190">
        <v>112</v>
      </c>
      <c r="F264" s="1190">
        <v>0</v>
      </c>
      <c r="G264" s="1243">
        <f t="shared" si="38"/>
        <v>0</v>
      </c>
    </row>
    <row r="265" spans="1:7" ht="17.100000000000001" customHeight="1">
      <c r="A265" s="848"/>
      <c r="B265" s="3057"/>
      <c r="C265" s="1258"/>
      <c r="D265" s="1259"/>
      <c r="E265" s="1260"/>
      <c r="F265" s="1260"/>
      <c r="G265" s="1232"/>
    </row>
    <row r="266" spans="1:7" ht="17.100000000000001" customHeight="1">
      <c r="A266" s="848"/>
      <c r="B266" s="3057"/>
      <c r="C266" s="2924" t="s">
        <v>618</v>
      </c>
      <c r="D266" s="2924"/>
      <c r="E266" s="1190">
        <f>E267+E268</f>
        <v>64396751</v>
      </c>
      <c r="F266" s="1190">
        <f t="shared" ref="F266" si="54">F267+F268</f>
        <v>63747968</v>
      </c>
      <c r="G266" s="1191">
        <f t="shared" si="38"/>
        <v>0.98992522153796236</v>
      </c>
    </row>
    <row r="267" spans="1:7" ht="29.25" hidden="1" customHeight="1">
      <c r="A267" s="848"/>
      <c r="B267" s="3057"/>
      <c r="C267" s="1261" t="s">
        <v>298</v>
      </c>
      <c r="D267" s="1262" t="s">
        <v>671</v>
      </c>
      <c r="E267" s="1263">
        <v>120000</v>
      </c>
      <c r="F267" s="1263">
        <v>0</v>
      </c>
      <c r="G267" s="1264">
        <f t="shared" si="38"/>
        <v>0</v>
      </c>
    </row>
    <row r="268" spans="1:7" ht="40.5" customHeight="1">
      <c r="A268" s="848"/>
      <c r="B268" s="3057"/>
      <c r="C268" s="1265" t="s">
        <v>672</v>
      </c>
      <c r="D268" s="1266" t="s">
        <v>673</v>
      </c>
      <c r="E268" s="1263">
        <v>64276751</v>
      </c>
      <c r="F268" s="1263">
        <v>63747968</v>
      </c>
      <c r="G268" s="1264">
        <f t="shared" si="38"/>
        <v>0.99177333963255232</v>
      </c>
    </row>
    <row r="269" spans="1:7" ht="17.100000000000001" customHeight="1">
      <c r="A269" s="848"/>
      <c r="B269" s="3057"/>
      <c r="C269" s="999"/>
      <c r="D269" s="999"/>
      <c r="E269" s="882"/>
      <c r="F269" s="882"/>
      <c r="G269" s="883"/>
    </row>
    <row r="270" spans="1:7" ht="17.100000000000001" customHeight="1">
      <c r="A270" s="848"/>
      <c r="B270" s="3057"/>
      <c r="C270" s="3059" t="s">
        <v>574</v>
      </c>
      <c r="D270" s="3059"/>
      <c r="E270" s="1267">
        <f>E271</f>
        <v>107502000</v>
      </c>
      <c r="F270" s="1267">
        <f t="shared" ref="F270" si="55">F271</f>
        <v>11248094</v>
      </c>
      <c r="G270" s="1268">
        <f t="shared" si="38"/>
        <v>0.10463148592584325</v>
      </c>
    </row>
    <row r="271" spans="1:7" ht="17.100000000000001" customHeight="1">
      <c r="A271" s="848"/>
      <c r="B271" s="3057"/>
      <c r="C271" s="3060" t="s">
        <v>575</v>
      </c>
      <c r="D271" s="3060"/>
      <c r="E271" s="1263">
        <f>SUM(E272:E274)</f>
        <v>107502000</v>
      </c>
      <c r="F271" s="1263">
        <f t="shared" ref="F271" si="56">SUM(F272:F274)</f>
        <v>11248094</v>
      </c>
      <c r="G271" s="1264">
        <f t="shared" si="38"/>
        <v>0.10463148592584325</v>
      </c>
    </row>
    <row r="272" spans="1:7" ht="17.100000000000001" customHeight="1" thickBot="1">
      <c r="A272" s="848"/>
      <c r="B272" s="3057"/>
      <c r="C272" s="1265" t="s">
        <v>576</v>
      </c>
      <c r="D272" s="1266" t="s">
        <v>622</v>
      </c>
      <c r="E272" s="1263">
        <v>21202000</v>
      </c>
      <c r="F272" s="1263">
        <v>11248094</v>
      </c>
      <c r="G272" s="1264">
        <f t="shared" si="38"/>
        <v>0.53052042260164134</v>
      </c>
    </row>
    <row r="273" spans="1:7" ht="17.100000000000001" hidden="1" customHeight="1">
      <c r="A273" s="848"/>
      <c r="B273" s="3057"/>
      <c r="C273" s="1265" t="s">
        <v>655</v>
      </c>
      <c r="D273" s="1266" t="s">
        <v>622</v>
      </c>
      <c r="E273" s="1263">
        <v>73355000</v>
      </c>
      <c r="F273" s="1263">
        <v>0</v>
      </c>
      <c r="G273" s="1264">
        <f t="shared" si="38"/>
        <v>0</v>
      </c>
    </row>
    <row r="274" spans="1:7" ht="17.100000000000001" hidden="1" customHeight="1">
      <c r="A274" s="848"/>
      <c r="B274" s="3057"/>
      <c r="C274" s="1265" t="s">
        <v>674</v>
      </c>
      <c r="D274" s="1266" t="s">
        <v>622</v>
      </c>
      <c r="E274" s="1263">
        <v>12945000</v>
      </c>
      <c r="F274" s="1263">
        <v>0</v>
      </c>
      <c r="G274" s="1264">
        <f t="shared" ref="G274:G337" si="57">F274/E274</f>
        <v>0</v>
      </c>
    </row>
    <row r="275" spans="1:7" ht="17.100000000000001" hidden="1" customHeight="1">
      <c r="A275" s="848"/>
      <c r="B275" s="3057"/>
      <c r="C275" s="999"/>
      <c r="D275" s="1048"/>
      <c r="E275" s="1049"/>
      <c r="F275" s="1049"/>
      <c r="G275" s="1050"/>
    </row>
    <row r="276" spans="1:7" ht="17.100000000000001" hidden="1" customHeight="1">
      <c r="A276" s="848"/>
      <c r="B276" s="3057"/>
      <c r="C276" s="3061" t="s">
        <v>585</v>
      </c>
      <c r="D276" s="3062"/>
      <c r="E276" s="1263">
        <f>SUM(E277:E279)</f>
        <v>106149000</v>
      </c>
      <c r="F276" s="1263">
        <f t="shared" ref="F276" si="58">SUM(F277:F279)</f>
        <v>0</v>
      </c>
      <c r="G276" s="1264">
        <f t="shared" si="57"/>
        <v>0</v>
      </c>
    </row>
    <row r="277" spans="1:7" ht="17.100000000000001" hidden="1" customHeight="1">
      <c r="A277" s="848"/>
      <c r="B277" s="3057"/>
      <c r="C277" s="1265" t="s">
        <v>576</v>
      </c>
      <c r="D277" s="1266" t="s">
        <v>622</v>
      </c>
      <c r="E277" s="1263">
        <v>19849000</v>
      </c>
      <c r="F277" s="1263">
        <v>0</v>
      </c>
      <c r="G277" s="1264">
        <f t="shared" si="57"/>
        <v>0</v>
      </c>
    </row>
    <row r="278" spans="1:7" ht="17.100000000000001" hidden="1" customHeight="1">
      <c r="A278" s="848"/>
      <c r="B278" s="3058"/>
      <c r="C278" s="1265" t="s">
        <v>655</v>
      </c>
      <c r="D278" s="1266" t="s">
        <v>622</v>
      </c>
      <c r="E278" s="1263">
        <v>73355000</v>
      </c>
      <c r="F278" s="1263">
        <v>0</v>
      </c>
      <c r="G278" s="1264">
        <f t="shared" si="57"/>
        <v>0</v>
      </c>
    </row>
    <row r="279" spans="1:7" ht="17.100000000000001" hidden="1" customHeight="1" thickBot="1">
      <c r="A279" s="848"/>
      <c r="B279" s="3058"/>
      <c r="C279" s="1269" t="s">
        <v>674</v>
      </c>
      <c r="D279" s="1270" t="s">
        <v>622</v>
      </c>
      <c r="E279" s="1271">
        <v>12945000</v>
      </c>
      <c r="F279" s="1263">
        <v>0</v>
      </c>
      <c r="G279" s="1264">
        <f t="shared" si="57"/>
        <v>0</v>
      </c>
    </row>
    <row r="280" spans="1:7" ht="17.100000000000001" customHeight="1" thickBot="1">
      <c r="A280" s="848"/>
      <c r="B280" s="1072" t="s">
        <v>675</v>
      </c>
      <c r="C280" s="1073"/>
      <c r="D280" s="1074" t="s">
        <v>284</v>
      </c>
      <c r="E280" s="1075">
        <f>E281+E285</f>
        <v>2795933</v>
      </c>
      <c r="F280" s="1075">
        <f t="shared" ref="F280" si="59">F281+F285</f>
        <v>54192244</v>
      </c>
      <c r="G280" s="1076">
        <f t="shared" si="57"/>
        <v>19.382525976123176</v>
      </c>
    </row>
    <row r="281" spans="1:7" ht="17.100000000000001" hidden="1" customHeight="1">
      <c r="A281" s="848"/>
      <c r="B281" s="1272"/>
      <c r="C281" s="2802" t="s">
        <v>521</v>
      </c>
      <c r="D281" s="2802"/>
      <c r="E281" s="854">
        <f>E282</f>
        <v>3994</v>
      </c>
      <c r="F281" s="854">
        <f t="shared" ref="F281:F283" si="60">F282</f>
        <v>0</v>
      </c>
      <c r="G281" s="855">
        <f t="shared" si="57"/>
        <v>0</v>
      </c>
    </row>
    <row r="282" spans="1:7" ht="17.100000000000001" hidden="1" customHeight="1">
      <c r="A282" s="848"/>
      <c r="B282" s="1272"/>
      <c r="C282" s="3051" t="s">
        <v>522</v>
      </c>
      <c r="D282" s="3051"/>
      <c r="E282" s="958">
        <f>E283</f>
        <v>3994</v>
      </c>
      <c r="F282" s="958">
        <f t="shared" si="60"/>
        <v>0</v>
      </c>
      <c r="G282" s="1243">
        <f t="shared" si="57"/>
        <v>0</v>
      </c>
    </row>
    <row r="283" spans="1:7" ht="17.100000000000001" hidden="1" customHeight="1">
      <c r="A283" s="848"/>
      <c r="B283" s="1272"/>
      <c r="C283" s="3055" t="s">
        <v>534</v>
      </c>
      <c r="D283" s="3055"/>
      <c r="E283" s="1252">
        <f>E284</f>
        <v>3994</v>
      </c>
      <c r="F283" s="1252">
        <f t="shared" si="60"/>
        <v>0</v>
      </c>
      <c r="G283" s="1253">
        <f t="shared" si="57"/>
        <v>0</v>
      </c>
    </row>
    <row r="284" spans="1:7" ht="17.100000000000001" hidden="1" customHeight="1">
      <c r="A284" s="848"/>
      <c r="B284" s="1272"/>
      <c r="C284" s="1239" t="s">
        <v>551</v>
      </c>
      <c r="D284" s="1240" t="s">
        <v>552</v>
      </c>
      <c r="E284" s="958">
        <v>3994</v>
      </c>
      <c r="F284" s="958">
        <v>0</v>
      </c>
      <c r="G284" s="1243">
        <f t="shared" si="57"/>
        <v>0</v>
      </c>
    </row>
    <row r="285" spans="1:7" ht="17.100000000000001" customHeight="1">
      <c r="A285" s="848"/>
      <c r="B285" s="1273"/>
      <c r="C285" s="2804" t="s">
        <v>574</v>
      </c>
      <c r="D285" s="2804"/>
      <c r="E285" s="854">
        <f>E286</f>
        <v>2791939</v>
      </c>
      <c r="F285" s="854">
        <f t="shared" ref="F285" si="61">F286</f>
        <v>54192244</v>
      </c>
      <c r="G285" s="855">
        <f t="shared" si="57"/>
        <v>19.410253590784038</v>
      </c>
    </row>
    <row r="286" spans="1:7" ht="17.100000000000001" customHeight="1">
      <c r="A286" s="848"/>
      <c r="B286" s="1273"/>
      <c r="C286" s="3053" t="s">
        <v>575</v>
      </c>
      <c r="D286" s="3053"/>
      <c r="E286" s="958">
        <f>SUM(E287:E292)</f>
        <v>2791939</v>
      </c>
      <c r="F286" s="958">
        <f t="shared" ref="F286" si="62">SUM(F287:F292)</f>
        <v>54192244</v>
      </c>
      <c r="G286" s="1243">
        <f t="shared" si="57"/>
        <v>19.410253590784038</v>
      </c>
    </row>
    <row r="287" spans="1:7" ht="17.100000000000001" customHeight="1">
      <c r="A287" s="848"/>
      <c r="B287" s="1273"/>
      <c r="C287" s="1249" t="s">
        <v>582</v>
      </c>
      <c r="D287" s="1250" t="s">
        <v>577</v>
      </c>
      <c r="E287" s="958">
        <v>522071</v>
      </c>
      <c r="F287" s="958">
        <v>1963130</v>
      </c>
      <c r="G287" s="1243">
        <f t="shared" si="57"/>
        <v>3.7602739857222485</v>
      </c>
    </row>
    <row r="288" spans="1:7" ht="17.100000000000001" customHeight="1">
      <c r="A288" s="848"/>
      <c r="B288" s="1273"/>
      <c r="C288" s="1249" t="s">
        <v>676</v>
      </c>
      <c r="D288" s="1250" t="s">
        <v>577</v>
      </c>
      <c r="E288" s="958">
        <v>1134934</v>
      </c>
      <c r="F288" s="958">
        <v>4267676</v>
      </c>
      <c r="G288" s="1243">
        <f t="shared" si="57"/>
        <v>3.7602856201329771</v>
      </c>
    </row>
    <row r="289" spans="1:7" ht="17.100000000000001" customHeight="1">
      <c r="A289" s="848"/>
      <c r="B289" s="1273"/>
      <c r="C289" s="1249" t="s">
        <v>677</v>
      </c>
      <c r="D289" s="1250" t="s">
        <v>577</v>
      </c>
      <c r="E289" s="958">
        <v>1134934</v>
      </c>
      <c r="F289" s="958">
        <v>4267676</v>
      </c>
      <c r="G289" s="1243">
        <f t="shared" si="57"/>
        <v>3.7602856201329771</v>
      </c>
    </row>
    <row r="290" spans="1:7" ht="17.100000000000001" customHeight="1">
      <c r="A290" s="848"/>
      <c r="B290" s="1273"/>
      <c r="C290" s="1239" t="s">
        <v>576</v>
      </c>
      <c r="D290" s="1240" t="s">
        <v>622</v>
      </c>
      <c r="E290" s="958">
        <v>0</v>
      </c>
      <c r="F290" s="958">
        <v>8170380</v>
      </c>
      <c r="G290" s="1243"/>
    </row>
    <row r="291" spans="1:7" ht="17.100000000000001" customHeight="1">
      <c r="A291" s="848"/>
      <c r="B291" s="1273"/>
      <c r="C291" s="1239" t="s">
        <v>655</v>
      </c>
      <c r="D291" s="1240" t="s">
        <v>622</v>
      </c>
      <c r="E291" s="958">
        <v>0</v>
      </c>
      <c r="F291" s="958">
        <v>17761691</v>
      </c>
      <c r="G291" s="1243"/>
    </row>
    <row r="292" spans="1:7" ht="17.100000000000001" customHeight="1">
      <c r="A292" s="848"/>
      <c r="B292" s="1273"/>
      <c r="C292" s="1239" t="s">
        <v>674</v>
      </c>
      <c r="D292" s="1240" t="s">
        <v>622</v>
      </c>
      <c r="E292" s="958">
        <v>0</v>
      </c>
      <c r="F292" s="958">
        <v>17761691</v>
      </c>
      <c r="G292" s="1243"/>
    </row>
    <row r="293" spans="1:7" ht="17.100000000000001" customHeight="1">
      <c r="A293" s="848"/>
      <c r="B293" s="1273"/>
      <c r="C293" s="999"/>
      <c r="D293" s="1048"/>
      <c r="E293" s="1049"/>
      <c r="F293" s="1049"/>
      <c r="G293" s="1050"/>
    </row>
    <row r="294" spans="1:7" ht="17.100000000000001" customHeight="1">
      <c r="A294" s="848"/>
      <c r="B294" s="1273"/>
      <c r="C294" s="3055" t="s">
        <v>585</v>
      </c>
      <c r="D294" s="3056"/>
      <c r="E294" s="958">
        <f>SUM(E295:E300)</f>
        <v>2791939</v>
      </c>
      <c r="F294" s="958">
        <f t="shared" ref="F294" si="63">SUM(F295:F300)</f>
        <v>54192244</v>
      </c>
      <c r="G294" s="1243">
        <f t="shared" si="57"/>
        <v>19.410253590784038</v>
      </c>
    </row>
    <row r="295" spans="1:7" ht="17.100000000000001" customHeight="1">
      <c r="A295" s="848"/>
      <c r="B295" s="1273"/>
      <c r="C295" s="1249" t="s">
        <v>582</v>
      </c>
      <c r="D295" s="1250" t="s">
        <v>577</v>
      </c>
      <c r="E295" s="958">
        <v>522071</v>
      </c>
      <c r="F295" s="958">
        <v>1963130</v>
      </c>
      <c r="G295" s="1243">
        <f t="shared" si="57"/>
        <v>3.7602739857222485</v>
      </c>
    </row>
    <row r="296" spans="1:7" ht="17.100000000000001" customHeight="1">
      <c r="A296" s="848"/>
      <c r="B296" s="1273"/>
      <c r="C296" s="1249" t="s">
        <v>676</v>
      </c>
      <c r="D296" s="1250" t="s">
        <v>577</v>
      </c>
      <c r="E296" s="958">
        <v>1134934</v>
      </c>
      <c r="F296" s="958">
        <v>4267676</v>
      </c>
      <c r="G296" s="1243">
        <f t="shared" si="57"/>
        <v>3.7602856201329771</v>
      </c>
    </row>
    <row r="297" spans="1:7" ht="17.100000000000001" customHeight="1">
      <c r="A297" s="848"/>
      <c r="B297" s="1273"/>
      <c r="C297" s="1249" t="s">
        <v>677</v>
      </c>
      <c r="D297" s="1250" t="s">
        <v>577</v>
      </c>
      <c r="E297" s="958">
        <v>1134934</v>
      </c>
      <c r="F297" s="958">
        <v>4267676</v>
      </c>
      <c r="G297" s="1243">
        <f t="shared" si="57"/>
        <v>3.7602856201329771</v>
      </c>
    </row>
    <row r="298" spans="1:7" ht="17.100000000000001" customHeight="1">
      <c r="A298" s="848"/>
      <c r="B298" s="1273"/>
      <c r="C298" s="1239" t="s">
        <v>576</v>
      </c>
      <c r="D298" s="1240" t="s">
        <v>622</v>
      </c>
      <c r="E298" s="958">
        <v>0</v>
      </c>
      <c r="F298" s="958">
        <v>8170380</v>
      </c>
      <c r="G298" s="1243"/>
    </row>
    <row r="299" spans="1:7" ht="16.5" customHeight="1">
      <c r="A299" s="848"/>
      <c r="B299" s="1273"/>
      <c r="C299" s="1239" t="s">
        <v>655</v>
      </c>
      <c r="D299" s="1240" t="s">
        <v>622</v>
      </c>
      <c r="E299" s="958">
        <v>0</v>
      </c>
      <c r="F299" s="958">
        <v>17761691</v>
      </c>
      <c r="G299" s="1243"/>
    </row>
    <row r="300" spans="1:7" ht="15.75" customHeight="1" thickBot="1">
      <c r="A300" s="848"/>
      <c r="B300" s="1273"/>
      <c r="C300" s="1233" t="s">
        <v>674</v>
      </c>
      <c r="D300" s="1236" t="s">
        <v>622</v>
      </c>
      <c r="E300" s="1220">
        <v>0</v>
      </c>
      <c r="F300" s="1220">
        <v>17761691</v>
      </c>
      <c r="G300" s="1224"/>
    </row>
    <row r="301" spans="1:7" ht="17.100000000000001" customHeight="1" thickBot="1">
      <c r="A301" s="848"/>
      <c r="B301" s="1072" t="s">
        <v>678</v>
      </c>
      <c r="C301" s="1073"/>
      <c r="D301" s="1074" t="s">
        <v>287</v>
      </c>
      <c r="E301" s="1274">
        <f t="shared" ref="E301:F303" si="64">E302</f>
        <v>56960000</v>
      </c>
      <c r="F301" s="1274">
        <f t="shared" si="64"/>
        <v>55000000</v>
      </c>
      <c r="G301" s="1275">
        <f t="shared" si="57"/>
        <v>0.9655898876404494</v>
      </c>
    </row>
    <row r="302" spans="1:7" ht="17.100000000000001" customHeight="1">
      <c r="A302" s="848"/>
      <c r="B302" s="2806"/>
      <c r="C302" s="3054" t="s">
        <v>521</v>
      </c>
      <c r="D302" s="2802"/>
      <c r="E302" s="854">
        <f t="shared" si="64"/>
        <v>56960000</v>
      </c>
      <c r="F302" s="854">
        <f t="shared" si="64"/>
        <v>55000000</v>
      </c>
      <c r="G302" s="855">
        <f t="shared" si="57"/>
        <v>0.9655898876404494</v>
      </c>
    </row>
    <row r="303" spans="1:7" ht="17.100000000000001" customHeight="1">
      <c r="A303" s="848"/>
      <c r="B303" s="2806"/>
      <c r="C303" s="3051" t="s">
        <v>618</v>
      </c>
      <c r="D303" s="3051"/>
      <c r="E303" s="1276">
        <f t="shared" si="64"/>
        <v>56960000</v>
      </c>
      <c r="F303" s="1276">
        <f t="shared" si="64"/>
        <v>55000000</v>
      </c>
      <c r="G303" s="1277">
        <f t="shared" si="57"/>
        <v>0.9655898876404494</v>
      </c>
    </row>
    <row r="304" spans="1:7" ht="26.25" thickBot="1">
      <c r="A304" s="848"/>
      <c r="B304" s="2806"/>
      <c r="C304" s="1233" t="s">
        <v>679</v>
      </c>
      <c r="D304" s="1236" t="s">
        <v>680</v>
      </c>
      <c r="E304" s="962">
        <v>56960000</v>
      </c>
      <c r="F304" s="962">
        <v>55000000</v>
      </c>
      <c r="G304" s="963">
        <f t="shared" si="57"/>
        <v>0.9655898876404494</v>
      </c>
    </row>
    <row r="305" spans="1:7" ht="17.100000000000001" customHeight="1" thickBot="1">
      <c r="A305" s="848"/>
      <c r="B305" s="1072" t="s">
        <v>681</v>
      </c>
      <c r="C305" s="1073"/>
      <c r="D305" s="1074" t="s">
        <v>288</v>
      </c>
      <c r="E305" s="1075">
        <f t="shared" ref="E305:F308" si="65">E306</f>
        <v>600000</v>
      </c>
      <c r="F305" s="1075">
        <f t="shared" si="65"/>
        <v>252000</v>
      </c>
      <c r="G305" s="1076">
        <f t="shared" si="57"/>
        <v>0.42</v>
      </c>
    </row>
    <row r="306" spans="1:7" ht="17.100000000000001" customHeight="1">
      <c r="A306" s="848"/>
      <c r="B306" s="2806"/>
      <c r="C306" s="2802" t="s">
        <v>521</v>
      </c>
      <c r="D306" s="2802"/>
      <c r="E306" s="854">
        <f t="shared" si="65"/>
        <v>600000</v>
      </c>
      <c r="F306" s="854">
        <f t="shared" si="65"/>
        <v>252000</v>
      </c>
      <c r="G306" s="855">
        <f t="shared" si="57"/>
        <v>0.42</v>
      </c>
    </row>
    <row r="307" spans="1:7" ht="17.100000000000001" customHeight="1">
      <c r="A307" s="848"/>
      <c r="B307" s="2806"/>
      <c r="C307" s="3051" t="s">
        <v>522</v>
      </c>
      <c r="D307" s="3051"/>
      <c r="E307" s="958">
        <f t="shared" si="65"/>
        <v>600000</v>
      </c>
      <c r="F307" s="958">
        <f t="shared" si="65"/>
        <v>252000</v>
      </c>
      <c r="G307" s="1243">
        <f t="shared" si="57"/>
        <v>0.42</v>
      </c>
    </row>
    <row r="308" spans="1:7" ht="17.100000000000001" customHeight="1">
      <c r="A308" s="848"/>
      <c r="B308" s="2806"/>
      <c r="C308" s="3055" t="s">
        <v>534</v>
      </c>
      <c r="D308" s="3055"/>
      <c r="E308" s="1252">
        <f t="shared" si="65"/>
        <v>600000</v>
      </c>
      <c r="F308" s="1252">
        <f t="shared" si="65"/>
        <v>252000</v>
      </c>
      <c r="G308" s="1253">
        <f t="shared" si="57"/>
        <v>0.42</v>
      </c>
    </row>
    <row r="309" spans="1:7" ht="17.100000000000001" customHeight="1" thickBot="1">
      <c r="A309" s="848"/>
      <c r="B309" s="2806"/>
      <c r="C309" s="1233" t="s">
        <v>551</v>
      </c>
      <c r="D309" s="1236" t="s">
        <v>552</v>
      </c>
      <c r="E309" s="1220">
        <v>600000</v>
      </c>
      <c r="F309" s="1220">
        <v>252000</v>
      </c>
      <c r="G309" s="1224">
        <f t="shared" si="57"/>
        <v>0.42</v>
      </c>
    </row>
    <row r="310" spans="1:7" ht="17.100000000000001" customHeight="1" thickBot="1">
      <c r="A310" s="848"/>
      <c r="B310" s="1072" t="s">
        <v>682</v>
      </c>
      <c r="C310" s="1073"/>
      <c r="D310" s="1074" t="s">
        <v>291</v>
      </c>
      <c r="E310" s="1075">
        <f>E311+E347</f>
        <v>636815137</v>
      </c>
      <c r="F310" s="1075">
        <f t="shared" ref="F310" si="66">F311+F347</f>
        <v>519480636</v>
      </c>
      <c r="G310" s="1076">
        <f t="shared" si="57"/>
        <v>0.81574793973529558</v>
      </c>
    </row>
    <row r="311" spans="1:7" ht="17.100000000000001" customHeight="1">
      <c r="A311" s="848"/>
      <c r="B311" s="860"/>
      <c r="C311" s="2802" t="s">
        <v>521</v>
      </c>
      <c r="D311" s="2802"/>
      <c r="E311" s="854">
        <f>E312+E344</f>
        <v>66065495</v>
      </c>
      <c r="F311" s="854">
        <f t="shared" ref="F311" si="67">F312+F344</f>
        <v>63688938</v>
      </c>
      <c r="G311" s="855">
        <f t="shared" si="57"/>
        <v>0.96402725810197898</v>
      </c>
    </row>
    <row r="312" spans="1:7" ht="17.100000000000001" customHeight="1">
      <c r="A312" s="848"/>
      <c r="B312" s="860"/>
      <c r="C312" s="3051" t="s">
        <v>522</v>
      </c>
      <c r="D312" s="3051"/>
      <c r="E312" s="958">
        <f t="shared" ref="E312:F312" si="68">E313+E320</f>
        <v>65824245</v>
      </c>
      <c r="F312" s="958">
        <f t="shared" si="68"/>
        <v>63448938</v>
      </c>
      <c r="G312" s="1243">
        <f t="shared" si="57"/>
        <v>0.96391440570264042</v>
      </c>
    </row>
    <row r="313" spans="1:7" ht="17.100000000000001" customHeight="1">
      <c r="A313" s="848"/>
      <c r="B313" s="860"/>
      <c r="C313" s="3052" t="s">
        <v>523</v>
      </c>
      <c r="D313" s="3052"/>
      <c r="E313" s="1252">
        <f t="shared" ref="E313:F313" si="69">SUM(E314:E318)</f>
        <v>17694962</v>
      </c>
      <c r="F313" s="1252">
        <f t="shared" si="69"/>
        <v>18108464</v>
      </c>
      <c r="G313" s="1253">
        <f t="shared" si="57"/>
        <v>1.0233683463123571</v>
      </c>
    </row>
    <row r="314" spans="1:7" ht="17.100000000000001" customHeight="1">
      <c r="A314" s="848"/>
      <c r="B314" s="860"/>
      <c r="C314" s="1239" t="s">
        <v>524</v>
      </c>
      <c r="D314" s="1240" t="s">
        <v>525</v>
      </c>
      <c r="E314" s="958">
        <v>14026762</v>
      </c>
      <c r="F314" s="958">
        <v>14245117</v>
      </c>
      <c r="G314" s="1243">
        <f t="shared" si="57"/>
        <v>1.0155670282278975</v>
      </c>
    </row>
    <row r="315" spans="1:7" ht="17.100000000000001" customHeight="1">
      <c r="A315" s="848"/>
      <c r="B315" s="860"/>
      <c r="C315" s="1239" t="s">
        <v>526</v>
      </c>
      <c r="D315" s="1240" t="s">
        <v>527</v>
      </c>
      <c r="E315" s="958">
        <v>825422</v>
      </c>
      <c r="F315" s="958">
        <v>985000</v>
      </c>
      <c r="G315" s="1243">
        <f t="shared" si="57"/>
        <v>1.1933289880812481</v>
      </c>
    </row>
    <row r="316" spans="1:7" ht="17.100000000000001" customHeight="1">
      <c r="A316" s="848"/>
      <c r="B316" s="860"/>
      <c r="C316" s="1239" t="s">
        <v>528</v>
      </c>
      <c r="D316" s="1240" t="s">
        <v>529</v>
      </c>
      <c r="E316" s="958">
        <v>2464249</v>
      </c>
      <c r="F316" s="958">
        <v>2506978</v>
      </c>
      <c r="G316" s="1243">
        <f t="shared" si="57"/>
        <v>1.0173395626821802</v>
      </c>
    </row>
    <row r="317" spans="1:7" ht="17.100000000000001" customHeight="1">
      <c r="A317" s="848"/>
      <c r="B317" s="860"/>
      <c r="C317" s="1239" t="s">
        <v>530</v>
      </c>
      <c r="D317" s="1240" t="s">
        <v>531</v>
      </c>
      <c r="E317" s="958">
        <v>343426</v>
      </c>
      <c r="F317" s="958">
        <v>349380</v>
      </c>
      <c r="G317" s="1243">
        <f t="shared" si="57"/>
        <v>1.0173370682475993</v>
      </c>
    </row>
    <row r="318" spans="1:7" ht="17.100000000000001" customHeight="1">
      <c r="A318" s="848"/>
      <c r="B318" s="860"/>
      <c r="C318" s="1239" t="s">
        <v>532</v>
      </c>
      <c r="D318" s="1240" t="s">
        <v>533</v>
      </c>
      <c r="E318" s="958">
        <v>35103</v>
      </c>
      <c r="F318" s="958">
        <v>21989</v>
      </c>
      <c r="G318" s="1243">
        <f t="shared" si="57"/>
        <v>0.62641369683502834</v>
      </c>
    </row>
    <row r="319" spans="1:7" ht="17.100000000000001" customHeight="1">
      <c r="A319" s="848"/>
      <c r="B319" s="860"/>
      <c r="C319" s="1258"/>
      <c r="D319" s="1259"/>
      <c r="E319" s="1260"/>
      <c r="F319" s="1260"/>
      <c r="G319" s="1232"/>
    </row>
    <row r="320" spans="1:7" ht="17.100000000000001" customHeight="1">
      <c r="A320" s="848"/>
      <c r="B320" s="860"/>
      <c r="C320" s="2988" t="s">
        <v>534</v>
      </c>
      <c r="D320" s="2988"/>
      <c r="E320" s="1278">
        <f>SUM(E321:E342)</f>
        <v>48129283</v>
      </c>
      <c r="F320" s="1278">
        <f t="shared" ref="F320" si="70">SUM(F321:F342)</f>
        <v>45340474</v>
      </c>
      <c r="G320" s="1279">
        <f t="shared" si="57"/>
        <v>0.94205587895419096</v>
      </c>
    </row>
    <row r="321" spans="1:7" ht="17.100000000000001" customHeight="1">
      <c r="A321" s="848"/>
      <c r="B321" s="860"/>
      <c r="C321" s="1239" t="s">
        <v>535</v>
      </c>
      <c r="D321" s="1240" t="s">
        <v>536</v>
      </c>
      <c r="E321" s="958">
        <v>226966</v>
      </c>
      <c r="F321" s="958">
        <v>226500</v>
      </c>
      <c r="G321" s="1243">
        <f t="shared" si="57"/>
        <v>0.99794682904047305</v>
      </c>
    </row>
    <row r="322" spans="1:7" ht="17.100000000000001" customHeight="1">
      <c r="A322" s="848"/>
      <c r="B322" s="860"/>
      <c r="C322" s="1239" t="s">
        <v>537</v>
      </c>
      <c r="D322" s="1240" t="s">
        <v>538</v>
      </c>
      <c r="E322" s="958">
        <v>7959900</v>
      </c>
      <c r="F322" s="958">
        <v>7077700</v>
      </c>
      <c r="G322" s="1243">
        <f t="shared" si="57"/>
        <v>0.88916946192791368</v>
      </c>
    </row>
    <row r="323" spans="1:7" ht="17.100000000000001" customHeight="1">
      <c r="A323" s="848"/>
      <c r="B323" s="860"/>
      <c r="C323" s="1239" t="s">
        <v>539</v>
      </c>
      <c r="D323" s="1240" t="s">
        <v>540</v>
      </c>
      <c r="E323" s="958">
        <v>23000</v>
      </c>
      <c r="F323" s="958">
        <v>25000</v>
      </c>
      <c r="G323" s="1243">
        <f t="shared" si="57"/>
        <v>1.0869565217391304</v>
      </c>
    </row>
    <row r="324" spans="1:7" ht="17.100000000000001" customHeight="1">
      <c r="A324" s="848"/>
      <c r="B324" s="860"/>
      <c r="C324" s="1239" t="s">
        <v>541</v>
      </c>
      <c r="D324" s="1240" t="s">
        <v>542</v>
      </c>
      <c r="E324" s="958">
        <v>590000</v>
      </c>
      <c r="F324" s="958">
        <v>653000</v>
      </c>
      <c r="G324" s="1243">
        <f t="shared" si="57"/>
        <v>1.1067796610169491</v>
      </c>
    </row>
    <row r="325" spans="1:7" ht="17.100000000000001" customHeight="1">
      <c r="A325" s="848"/>
      <c r="B325" s="860"/>
      <c r="C325" s="1239" t="s">
        <v>543</v>
      </c>
      <c r="D325" s="1240" t="s">
        <v>544</v>
      </c>
      <c r="E325" s="958">
        <v>22377012</v>
      </c>
      <c r="F325" s="958">
        <v>20699865</v>
      </c>
      <c r="G325" s="1243">
        <f t="shared" si="57"/>
        <v>0.92505044909481215</v>
      </c>
    </row>
    <row r="326" spans="1:7" ht="17.100000000000001" customHeight="1">
      <c r="A326" s="848"/>
      <c r="B326" s="860"/>
      <c r="C326" s="1239" t="s">
        <v>545</v>
      </c>
      <c r="D326" s="1240" t="s">
        <v>546</v>
      </c>
      <c r="E326" s="958">
        <v>41000</v>
      </c>
      <c r="F326" s="958">
        <v>46000</v>
      </c>
      <c r="G326" s="1243">
        <f t="shared" si="57"/>
        <v>1.1219512195121952</v>
      </c>
    </row>
    <row r="327" spans="1:7" ht="17.100000000000001" customHeight="1">
      <c r="A327" s="848"/>
      <c r="B327" s="860"/>
      <c r="C327" s="1239" t="s">
        <v>547</v>
      </c>
      <c r="D327" s="1240" t="s">
        <v>548</v>
      </c>
      <c r="E327" s="958">
        <f>13370659+20000</f>
        <v>13390659</v>
      </c>
      <c r="F327" s="958">
        <f>14152900+10000</f>
        <v>14162900</v>
      </c>
      <c r="G327" s="1243">
        <f t="shared" si="57"/>
        <v>1.0576701266158746</v>
      </c>
    </row>
    <row r="328" spans="1:7" ht="16.5" customHeight="1">
      <c r="A328" s="848"/>
      <c r="B328" s="860"/>
      <c r="C328" s="1239" t="s">
        <v>549</v>
      </c>
      <c r="D328" s="1240" t="s">
        <v>550</v>
      </c>
      <c r="E328" s="958">
        <v>75000</v>
      </c>
      <c r="F328" s="958">
        <v>94000</v>
      </c>
      <c r="G328" s="1243">
        <f t="shared" si="57"/>
        <v>1.2533333333333334</v>
      </c>
    </row>
    <row r="329" spans="1:7" ht="17.100000000000001" customHeight="1">
      <c r="A329" s="848"/>
      <c r="B329" s="860"/>
      <c r="C329" s="1239" t="s">
        <v>551</v>
      </c>
      <c r="D329" s="1240" t="s">
        <v>552</v>
      </c>
      <c r="E329" s="958">
        <v>577000</v>
      </c>
      <c r="F329" s="958">
        <v>767000</v>
      </c>
      <c r="G329" s="1243">
        <f t="shared" si="57"/>
        <v>1.3292894280762566</v>
      </c>
    </row>
    <row r="330" spans="1:7" ht="17.100000000000001" customHeight="1">
      <c r="A330" s="848"/>
      <c r="B330" s="860"/>
      <c r="C330" s="1239" t="s">
        <v>555</v>
      </c>
      <c r="D330" s="1240" t="s">
        <v>556</v>
      </c>
      <c r="E330" s="958">
        <v>20000</v>
      </c>
      <c r="F330" s="958">
        <v>20000</v>
      </c>
      <c r="G330" s="1243">
        <f t="shared" si="57"/>
        <v>1</v>
      </c>
    </row>
    <row r="331" spans="1:7" ht="17.100000000000001" hidden="1" customHeight="1">
      <c r="A331" s="848"/>
      <c r="B331" s="860"/>
      <c r="C331" s="1239" t="s">
        <v>683</v>
      </c>
      <c r="D331" s="1240" t="s">
        <v>556</v>
      </c>
      <c r="E331" s="958"/>
      <c r="F331" s="958"/>
      <c r="G331" s="1243" t="e">
        <f t="shared" si="57"/>
        <v>#DIV/0!</v>
      </c>
    </row>
    <row r="332" spans="1:7" ht="17.100000000000001" customHeight="1">
      <c r="A332" s="848"/>
      <c r="B332" s="860"/>
      <c r="C332" s="1239" t="s">
        <v>683</v>
      </c>
      <c r="D332" s="1240" t="s">
        <v>684</v>
      </c>
      <c r="E332" s="958">
        <v>30000</v>
      </c>
      <c r="F332" s="958">
        <v>20000</v>
      </c>
      <c r="G332" s="1243">
        <f t="shared" si="57"/>
        <v>0.66666666666666663</v>
      </c>
    </row>
    <row r="333" spans="1:7" ht="17.100000000000001" customHeight="1">
      <c r="A333" s="848"/>
      <c r="B333" s="860"/>
      <c r="C333" s="1239" t="s">
        <v>557</v>
      </c>
      <c r="D333" s="1240" t="s">
        <v>558</v>
      </c>
      <c r="E333" s="958">
        <v>620000</v>
      </c>
      <c r="F333" s="958">
        <v>781000</v>
      </c>
      <c r="G333" s="1243">
        <f t="shared" si="57"/>
        <v>1.2596774193548388</v>
      </c>
    </row>
    <row r="334" spans="1:7" ht="17.100000000000001" customHeight="1">
      <c r="A334" s="848"/>
      <c r="B334" s="860"/>
      <c r="C334" s="1239" t="s">
        <v>559</v>
      </c>
      <c r="D334" s="1240" t="s">
        <v>560</v>
      </c>
      <c r="E334" s="958">
        <v>285258</v>
      </c>
      <c r="F334" s="958">
        <v>288709</v>
      </c>
      <c r="G334" s="1243">
        <f t="shared" si="57"/>
        <v>1.0120978202188895</v>
      </c>
    </row>
    <row r="335" spans="1:7" ht="17.100000000000001" customHeight="1">
      <c r="A335" s="848"/>
      <c r="B335" s="860"/>
      <c r="C335" s="1239" t="s">
        <v>561</v>
      </c>
      <c r="D335" s="1240" t="s">
        <v>562</v>
      </c>
      <c r="E335" s="958">
        <v>126000</v>
      </c>
      <c r="F335" s="958">
        <v>126000</v>
      </c>
      <c r="G335" s="1243">
        <f t="shared" si="57"/>
        <v>1</v>
      </c>
    </row>
    <row r="336" spans="1:7" ht="27.75" customHeight="1">
      <c r="A336" s="848"/>
      <c r="B336" s="860"/>
      <c r="C336" s="1239" t="s">
        <v>580</v>
      </c>
      <c r="D336" s="1240" t="s">
        <v>581</v>
      </c>
      <c r="E336" s="958">
        <v>21000</v>
      </c>
      <c r="F336" s="958">
        <v>11000</v>
      </c>
      <c r="G336" s="1243">
        <f t="shared" si="57"/>
        <v>0.52380952380952384</v>
      </c>
    </row>
    <row r="337" spans="1:7" ht="17.100000000000001" customHeight="1">
      <c r="A337" s="848"/>
      <c r="B337" s="860"/>
      <c r="C337" s="1239" t="s">
        <v>565</v>
      </c>
      <c r="D337" s="1240" t="s">
        <v>566</v>
      </c>
      <c r="E337" s="958">
        <v>156100</v>
      </c>
      <c r="F337" s="958">
        <v>188300</v>
      </c>
      <c r="G337" s="1243">
        <f t="shared" si="57"/>
        <v>1.2062780269058295</v>
      </c>
    </row>
    <row r="338" spans="1:7" ht="17.100000000000001" hidden="1" customHeight="1">
      <c r="A338" s="848"/>
      <c r="B338" s="860"/>
      <c r="C338" s="1239" t="s">
        <v>685</v>
      </c>
      <c r="D338" s="1240" t="s">
        <v>686</v>
      </c>
      <c r="E338" s="958">
        <v>365907</v>
      </c>
      <c r="F338" s="958">
        <v>0</v>
      </c>
      <c r="G338" s="1243">
        <f t="shared" ref="G338:G402" si="71">F338/E338</f>
        <v>0</v>
      </c>
    </row>
    <row r="339" spans="1:7" ht="17.100000000000001" customHeight="1">
      <c r="A339" s="848"/>
      <c r="B339" s="860"/>
      <c r="C339" s="1239" t="s">
        <v>629</v>
      </c>
      <c r="D339" s="1240" t="s">
        <v>630</v>
      </c>
      <c r="E339" s="958">
        <v>17171</v>
      </c>
      <c r="F339" s="958">
        <v>13000</v>
      </c>
      <c r="G339" s="1243">
        <f t="shared" si="71"/>
        <v>0.75709044318909791</v>
      </c>
    </row>
    <row r="340" spans="1:7" ht="24.75" hidden="1" customHeight="1">
      <c r="A340" s="848"/>
      <c r="B340" s="860"/>
      <c r="C340" s="1239" t="s">
        <v>687</v>
      </c>
      <c r="D340" s="1240" t="s">
        <v>688</v>
      </c>
      <c r="E340" s="958">
        <v>909720</v>
      </c>
      <c r="F340" s="958">
        <v>0</v>
      </c>
      <c r="G340" s="1243">
        <f t="shared" si="71"/>
        <v>0</v>
      </c>
    </row>
    <row r="341" spans="1:7" ht="17.100000000000001" customHeight="1">
      <c r="A341" s="848"/>
      <c r="B341" s="860"/>
      <c r="C341" s="1239" t="s">
        <v>631</v>
      </c>
      <c r="D341" s="1240" t="s">
        <v>632</v>
      </c>
      <c r="E341" s="958">
        <v>217590</v>
      </c>
      <c r="F341" s="958">
        <v>30500</v>
      </c>
      <c r="G341" s="1243">
        <f t="shared" si="71"/>
        <v>0.14017188289903029</v>
      </c>
    </row>
    <row r="342" spans="1:7" ht="17.100000000000001" customHeight="1">
      <c r="A342" s="848"/>
      <c r="B342" s="860"/>
      <c r="C342" s="1239" t="s">
        <v>569</v>
      </c>
      <c r="D342" s="1240" t="s">
        <v>570</v>
      </c>
      <c r="E342" s="958">
        <v>100000</v>
      </c>
      <c r="F342" s="958">
        <v>110000</v>
      </c>
      <c r="G342" s="1243">
        <f t="shared" si="71"/>
        <v>1.1000000000000001</v>
      </c>
    </row>
    <row r="343" spans="1:7" ht="17.100000000000001" customHeight="1">
      <c r="A343" s="848"/>
      <c r="B343" s="860"/>
      <c r="C343" s="999"/>
      <c r="D343" s="999"/>
      <c r="E343" s="882"/>
      <c r="F343" s="882"/>
      <c r="G343" s="883"/>
    </row>
    <row r="344" spans="1:7" ht="17.100000000000001" customHeight="1">
      <c r="A344" s="848"/>
      <c r="B344" s="860"/>
      <c r="C344" s="3053" t="s">
        <v>571</v>
      </c>
      <c r="D344" s="3053"/>
      <c r="E344" s="958">
        <f t="shared" ref="E344:F344" si="72">E345</f>
        <v>241250</v>
      </c>
      <c r="F344" s="958">
        <f t="shared" si="72"/>
        <v>240000</v>
      </c>
      <c r="G344" s="1243">
        <f t="shared" si="71"/>
        <v>0.99481865284974091</v>
      </c>
    </row>
    <row r="345" spans="1:7" ht="17.100000000000001" customHeight="1">
      <c r="A345" s="848"/>
      <c r="B345" s="860"/>
      <c r="C345" s="1233" t="s">
        <v>572</v>
      </c>
      <c r="D345" s="1236" t="s">
        <v>573</v>
      </c>
      <c r="E345" s="1220">
        <v>241250</v>
      </c>
      <c r="F345" s="1220">
        <v>240000</v>
      </c>
      <c r="G345" s="1224">
        <f t="shared" si="71"/>
        <v>0.99481865284974091</v>
      </c>
    </row>
    <row r="346" spans="1:7" ht="17.100000000000001" customHeight="1">
      <c r="A346" s="848"/>
      <c r="B346" s="860"/>
      <c r="C346" s="1280"/>
      <c r="D346" s="1281"/>
      <c r="E346" s="1229"/>
      <c r="F346" s="1229"/>
      <c r="G346" s="1230"/>
    </row>
    <row r="347" spans="1:7" ht="17.100000000000001" customHeight="1">
      <c r="A347" s="848"/>
      <c r="B347" s="860"/>
      <c r="C347" s="2804" t="s">
        <v>574</v>
      </c>
      <c r="D347" s="2804"/>
      <c r="E347" s="854">
        <f>E348</f>
        <v>570749642</v>
      </c>
      <c r="F347" s="854">
        <f t="shared" ref="F347" si="73">F348</f>
        <v>455791698</v>
      </c>
      <c r="G347" s="855">
        <f t="shared" si="71"/>
        <v>0.79858429065821468</v>
      </c>
    </row>
    <row r="348" spans="1:7" ht="17.100000000000001" customHeight="1">
      <c r="A348" s="848"/>
      <c r="B348" s="860"/>
      <c r="C348" s="3047" t="s">
        <v>689</v>
      </c>
      <c r="D348" s="3047"/>
      <c r="E348" s="958">
        <f>SUM(E349:E357)</f>
        <v>570749642</v>
      </c>
      <c r="F348" s="958">
        <f t="shared" ref="F348" si="74">SUM(F349:F357)</f>
        <v>455791698</v>
      </c>
      <c r="G348" s="1243">
        <f t="shared" si="71"/>
        <v>0.79858429065821468</v>
      </c>
    </row>
    <row r="349" spans="1:7" ht="17.100000000000001" customHeight="1">
      <c r="A349" s="848"/>
      <c r="B349" s="860"/>
      <c r="C349" s="1282" t="s">
        <v>582</v>
      </c>
      <c r="D349" s="1283" t="s">
        <v>577</v>
      </c>
      <c r="E349" s="958">
        <v>57982048</v>
      </c>
      <c r="F349" s="958">
        <f>34746119+14011238</f>
        <v>48757357</v>
      </c>
      <c r="G349" s="1243">
        <f t="shared" si="71"/>
        <v>0.84090436060485485</v>
      </c>
    </row>
    <row r="350" spans="1:7" ht="17.100000000000001" customHeight="1">
      <c r="A350" s="848"/>
      <c r="B350" s="860"/>
      <c r="C350" s="1282" t="s">
        <v>676</v>
      </c>
      <c r="D350" s="1283" t="s">
        <v>577</v>
      </c>
      <c r="E350" s="958">
        <v>390586086</v>
      </c>
      <c r="F350" s="958">
        <f>178090972+115642951</f>
        <v>293733923</v>
      </c>
      <c r="G350" s="1243">
        <f t="shared" si="71"/>
        <v>0.75203376036288194</v>
      </c>
    </row>
    <row r="351" spans="1:7" ht="17.100000000000001" customHeight="1">
      <c r="A351" s="848"/>
      <c r="B351" s="860"/>
      <c r="C351" s="1282" t="s">
        <v>690</v>
      </c>
      <c r="D351" s="1283" t="s">
        <v>577</v>
      </c>
      <c r="E351" s="958">
        <v>10157044</v>
      </c>
      <c r="F351" s="958">
        <v>29160814</v>
      </c>
      <c r="G351" s="1243">
        <f t="shared" si="71"/>
        <v>2.8709941593243071</v>
      </c>
    </row>
    <row r="352" spans="1:7" ht="17.100000000000001" customHeight="1">
      <c r="A352" s="848"/>
      <c r="B352" s="860"/>
      <c r="C352" s="1282" t="s">
        <v>677</v>
      </c>
      <c r="D352" s="1283" t="s">
        <v>577</v>
      </c>
      <c r="E352" s="958">
        <v>70826554</v>
      </c>
      <c r="F352" s="958">
        <f>41992788+19850009</f>
        <v>61842797</v>
      </c>
      <c r="G352" s="1243">
        <f t="shared" si="71"/>
        <v>0.87315834962124517</v>
      </c>
    </row>
    <row r="353" spans="1:8" ht="17.100000000000001" customHeight="1">
      <c r="A353" s="848"/>
      <c r="B353" s="860"/>
      <c r="C353" s="1282" t="s">
        <v>576</v>
      </c>
      <c r="D353" s="1283" t="s">
        <v>622</v>
      </c>
      <c r="E353" s="958">
        <f>11818125+16409</f>
        <v>11834534</v>
      </c>
      <c r="F353" s="958">
        <f>3712365+4529837</f>
        <v>8242202</v>
      </c>
      <c r="G353" s="1243">
        <f t="shared" si="71"/>
        <v>0.6964534471741769</v>
      </c>
    </row>
    <row r="354" spans="1:8" ht="17.100000000000001" customHeight="1">
      <c r="A354" s="848"/>
      <c r="B354" s="860"/>
      <c r="C354" s="1282" t="s">
        <v>655</v>
      </c>
      <c r="D354" s="1283" t="s">
        <v>622</v>
      </c>
      <c r="E354" s="958">
        <v>23405947</v>
      </c>
      <c r="F354" s="958">
        <f>3732040+8257522</f>
        <v>11989562</v>
      </c>
      <c r="G354" s="1243">
        <f t="shared" si="71"/>
        <v>0.512244259973758</v>
      </c>
    </row>
    <row r="355" spans="1:8" ht="17.100000000000001" hidden="1" customHeight="1">
      <c r="A355" s="848"/>
      <c r="B355" s="860"/>
      <c r="C355" s="1282" t="s">
        <v>691</v>
      </c>
      <c r="D355" s="1283" t="s">
        <v>622</v>
      </c>
      <c r="E355" s="958">
        <v>784982</v>
      </c>
      <c r="F355" s="958">
        <v>0</v>
      </c>
      <c r="G355" s="1243">
        <f t="shared" si="71"/>
        <v>0</v>
      </c>
    </row>
    <row r="356" spans="1:8" ht="17.100000000000001" customHeight="1">
      <c r="A356" s="848"/>
      <c r="B356" s="860"/>
      <c r="C356" s="1282" t="s">
        <v>674</v>
      </c>
      <c r="D356" s="1283" t="s">
        <v>622</v>
      </c>
      <c r="E356" s="958">
        <v>5172445</v>
      </c>
      <c r="F356" s="958">
        <f>658596+1406447</f>
        <v>2065043</v>
      </c>
      <c r="G356" s="1243">
        <f t="shared" si="71"/>
        <v>0.39923923792326454</v>
      </c>
    </row>
    <row r="357" spans="1:8" ht="54.75" hidden="1" customHeight="1">
      <c r="A357" s="848"/>
      <c r="B357" s="860"/>
      <c r="C357" s="1284" t="s">
        <v>583</v>
      </c>
      <c r="D357" s="1285" t="s">
        <v>584</v>
      </c>
      <c r="E357" s="958">
        <v>2</v>
      </c>
      <c r="F357" s="958">
        <v>0</v>
      </c>
      <c r="G357" s="1243">
        <f t="shared" si="71"/>
        <v>0</v>
      </c>
    </row>
    <row r="358" spans="1:8" ht="13.5" customHeight="1">
      <c r="A358" s="848"/>
      <c r="B358" s="860"/>
      <c r="C358" s="999"/>
      <c r="D358" s="1048"/>
      <c r="E358" s="1049"/>
      <c r="F358" s="1049"/>
      <c r="G358" s="1050"/>
      <c r="H358" s="1286"/>
    </row>
    <row r="359" spans="1:8" ht="17.100000000000001" customHeight="1">
      <c r="A359" s="848"/>
      <c r="B359" s="860"/>
      <c r="C359" s="3048" t="s">
        <v>585</v>
      </c>
      <c r="D359" s="3049"/>
      <c r="E359" s="1252">
        <f>SUM(E360:E367)</f>
        <v>533745790</v>
      </c>
      <c r="F359" s="1252">
        <f t="shared" ref="F359" si="75">SUM(F360:F367)</f>
        <v>420796550</v>
      </c>
      <c r="G359" s="1253">
        <f t="shared" si="71"/>
        <v>0.78838382968791187</v>
      </c>
    </row>
    <row r="360" spans="1:8" ht="17.100000000000001" customHeight="1">
      <c r="A360" s="848"/>
      <c r="B360" s="860"/>
      <c r="C360" s="1287" t="s">
        <v>582</v>
      </c>
      <c r="D360" s="1288" t="s">
        <v>577</v>
      </c>
      <c r="E360" s="958">
        <v>23559605</v>
      </c>
      <c r="F360" s="958">
        <f>5462020+11203189</f>
        <v>16665209</v>
      </c>
      <c r="G360" s="1243">
        <f t="shared" si="71"/>
        <v>0.70736368457790355</v>
      </c>
    </row>
    <row r="361" spans="1:8" ht="17.100000000000001" customHeight="1">
      <c r="A361" s="848"/>
      <c r="B361" s="860"/>
      <c r="C361" s="1287" t="s">
        <v>676</v>
      </c>
      <c r="D361" s="1288" t="s">
        <v>577</v>
      </c>
      <c r="E361" s="958">
        <v>390586086</v>
      </c>
      <c r="F361" s="958">
        <f>178090972+115642951</f>
        <v>293733923</v>
      </c>
      <c r="G361" s="1243">
        <f t="shared" si="71"/>
        <v>0.75203376036288194</v>
      </c>
    </row>
    <row r="362" spans="1:8" ht="17.100000000000001" customHeight="1">
      <c r="A362" s="848"/>
      <c r="B362" s="860"/>
      <c r="C362" s="1287" t="s">
        <v>690</v>
      </c>
      <c r="D362" s="1288" t="s">
        <v>577</v>
      </c>
      <c r="E362" s="958">
        <v>10157044</v>
      </c>
      <c r="F362" s="958">
        <v>29160814</v>
      </c>
      <c r="G362" s="1243">
        <f t="shared" si="71"/>
        <v>2.8709941593243071</v>
      </c>
    </row>
    <row r="363" spans="1:8" ht="17.100000000000001" customHeight="1">
      <c r="A363" s="848"/>
      <c r="B363" s="860"/>
      <c r="C363" s="1282" t="s">
        <v>677</v>
      </c>
      <c r="D363" s="1283" t="s">
        <v>577</v>
      </c>
      <c r="E363" s="958">
        <v>70826554</v>
      </c>
      <c r="F363" s="958">
        <f>41992788+19850009</f>
        <v>61842797</v>
      </c>
      <c r="G363" s="1243">
        <f t="shared" si="71"/>
        <v>0.87315834962124517</v>
      </c>
    </row>
    <row r="364" spans="1:8" ht="17.100000000000001" customHeight="1">
      <c r="A364" s="848"/>
      <c r="B364" s="860"/>
      <c r="C364" s="1282" t="s">
        <v>576</v>
      </c>
      <c r="D364" s="1283" t="s">
        <v>622</v>
      </c>
      <c r="E364" s="958">
        <v>9253127</v>
      </c>
      <c r="F364" s="958">
        <f>809365+4529837</f>
        <v>5339202</v>
      </c>
      <c r="G364" s="1243">
        <f t="shared" si="71"/>
        <v>0.57701596444099379</v>
      </c>
    </row>
    <row r="365" spans="1:8" ht="17.100000000000001" customHeight="1">
      <c r="A365" s="848"/>
      <c r="B365" s="860"/>
      <c r="C365" s="1282" t="s">
        <v>655</v>
      </c>
      <c r="D365" s="1283" t="s">
        <v>622</v>
      </c>
      <c r="E365" s="958">
        <v>23405947</v>
      </c>
      <c r="F365" s="958">
        <f>3732040+8257522</f>
        <v>11989562</v>
      </c>
      <c r="G365" s="1243">
        <f t="shared" si="71"/>
        <v>0.512244259973758</v>
      </c>
    </row>
    <row r="366" spans="1:8" ht="17.100000000000001" hidden="1" customHeight="1">
      <c r="A366" s="848"/>
      <c r="B366" s="860"/>
      <c r="C366" s="1289" t="s">
        <v>691</v>
      </c>
      <c r="D366" s="1283" t="s">
        <v>622</v>
      </c>
      <c r="E366" s="958">
        <v>784982</v>
      </c>
      <c r="F366" s="958">
        <v>0</v>
      </c>
      <c r="G366" s="1243">
        <f t="shared" si="71"/>
        <v>0</v>
      </c>
    </row>
    <row r="367" spans="1:8" ht="17.100000000000001" customHeight="1" thickBot="1">
      <c r="A367" s="848"/>
      <c r="B367" s="860"/>
      <c r="C367" s="1289" t="s">
        <v>674</v>
      </c>
      <c r="D367" s="1290" t="s">
        <v>622</v>
      </c>
      <c r="E367" s="958">
        <v>5172445</v>
      </c>
      <c r="F367" s="958">
        <f>658596+1406447</f>
        <v>2065043</v>
      </c>
      <c r="G367" s="1243">
        <f t="shared" si="71"/>
        <v>0.39923923792326454</v>
      </c>
    </row>
    <row r="368" spans="1:8" ht="15" customHeight="1" thickBot="1">
      <c r="A368" s="848"/>
      <c r="B368" s="1072" t="s">
        <v>61</v>
      </c>
      <c r="C368" s="1073"/>
      <c r="D368" s="1074" t="s">
        <v>692</v>
      </c>
      <c r="E368" s="1075">
        <f>E369+E373</f>
        <v>5486000</v>
      </c>
      <c r="F368" s="1075">
        <f t="shared" ref="F368" si="76">F369+F373</f>
        <v>622773</v>
      </c>
      <c r="G368" s="1076">
        <f t="shared" si="71"/>
        <v>0.11352041560335399</v>
      </c>
    </row>
    <row r="369" spans="1:7" ht="15" hidden="1" customHeight="1">
      <c r="A369" s="848"/>
      <c r="B369" s="1272"/>
      <c r="C369" s="2802" t="s">
        <v>521</v>
      </c>
      <c r="D369" s="2802"/>
      <c r="E369" s="1291">
        <f>E370</f>
        <v>751000</v>
      </c>
      <c r="F369" s="1291">
        <f t="shared" ref="F369:F370" si="77">F370</f>
        <v>0</v>
      </c>
      <c r="G369" s="1292">
        <f t="shared" si="71"/>
        <v>0</v>
      </c>
    </row>
    <row r="370" spans="1:7" ht="15" hidden="1" customHeight="1">
      <c r="A370" s="848"/>
      <c r="B370" s="1272"/>
      <c r="C370" s="3050" t="s">
        <v>618</v>
      </c>
      <c r="D370" s="3050"/>
      <c r="E370" s="1293">
        <f>E371</f>
        <v>751000</v>
      </c>
      <c r="F370" s="1293">
        <f t="shared" si="77"/>
        <v>0</v>
      </c>
      <c r="G370" s="1294">
        <f t="shared" si="71"/>
        <v>0</v>
      </c>
    </row>
    <row r="371" spans="1:7" ht="33.75" hidden="1" customHeight="1">
      <c r="A371" s="848"/>
      <c r="B371" s="1272"/>
      <c r="C371" s="1295" t="s">
        <v>298</v>
      </c>
      <c r="D371" s="1296" t="s">
        <v>671</v>
      </c>
      <c r="E371" s="1293">
        <v>751000</v>
      </c>
      <c r="F371" s="1293">
        <v>0</v>
      </c>
      <c r="G371" s="1294">
        <f t="shared" si="71"/>
        <v>0</v>
      </c>
    </row>
    <row r="372" spans="1:7" ht="15" hidden="1" customHeight="1">
      <c r="A372" s="848"/>
      <c r="B372" s="1272"/>
      <c r="C372" s="1297"/>
      <c r="D372" s="1298"/>
      <c r="E372" s="1299"/>
      <c r="F372" s="1299"/>
      <c r="G372" s="1300"/>
    </row>
    <row r="373" spans="1:7">
      <c r="A373" s="848"/>
      <c r="B373" s="860"/>
      <c r="C373" s="2804" t="s">
        <v>693</v>
      </c>
      <c r="D373" s="2804"/>
      <c r="E373" s="854">
        <f t="shared" ref="E373:F374" si="78">E374</f>
        <v>4735000</v>
      </c>
      <c r="F373" s="854">
        <f t="shared" si="78"/>
        <v>622773</v>
      </c>
      <c r="G373" s="855">
        <f t="shared" si="71"/>
        <v>0.13152544878563885</v>
      </c>
    </row>
    <row r="374" spans="1:7" ht="16.5" customHeight="1">
      <c r="A374" s="848"/>
      <c r="B374" s="860"/>
      <c r="C374" s="3050" t="s">
        <v>694</v>
      </c>
      <c r="D374" s="3050"/>
      <c r="E374" s="879">
        <f t="shared" si="78"/>
        <v>4735000</v>
      </c>
      <c r="F374" s="879">
        <f t="shared" si="78"/>
        <v>622773</v>
      </c>
      <c r="G374" s="957">
        <f t="shared" si="71"/>
        <v>0.13152544878563885</v>
      </c>
    </row>
    <row r="375" spans="1:7" ht="39" thickBot="1">
      <c r="A375" s="848"/>
      <c r="B375" s="860"/>
      <c r="C375" s="1289" t="s">
        <v>695</v>
      </c>
      <c r="D375" s="1301" t="s">
        <v>696</v>
      </c>
      <c r="E375" s="1302">
        <v>4735000</v>
      </c>
      <c r="F375" s="1302">
        <f>1232773-610000</f>
        <v>622773</v>
      </c>
      <c r="G375" s="1303">
        <f t="shared" si="71"/>
        <v>0.13152544878563885</v>
      </c>
    </row>
    <row r="376" spans="1:7" ht="15" customHeight="1" thickBot="1">
      <c r="A376" s="848"/>
      <c r="B376" s="1072" t="s">
        <v>133</v>
      </c>
      <c r="C376" s="1073"/>
      <c r="D376" s="1074" t="s">
        <v>179</v>
      </c>
      <c r="E376" s="1274">
        <f>E377</f>
        <v>20000</v>
      </c>
      <c r="F376" s="1274">
        <f t="shared" ref="F376:F378" si="79">F377</f>
        <v>200000</v>
      </c>
      <c r="G376" s="1275">
        <f t="shared" si="71"/>
        <v>10</v>
      </c>
    </row>
    <row r="377" spans="1:7" ht="14.25" customHeight="1">
      <c r="A377" s="848"/>
      <c r="B377" s="860"/>
      <c r="C377" s="3040" t="s">
        <v>574</v>
      </c>
      <c r="D377" s="3041"/>
      <c r="E377" s="962">
        <f>E378</f>
        <v>20000</v>
      </c>
      <c r="F377" s="962">
        <f t="shared" si="79"/>
        <v>200000</v>
      </c>
      <c r="G377" s="963">
        <f t="shared" si="71"/>
        <v>10</v>
      </c>
    </row>
    <row r="378" spans="1:7" ht="16.5" customHeight="1">
      <c r="A378" s="848"/>
      <c r="B378" s="860"/>
      <c r="C378" s="2828" t="s">
        <v>694</v>
      </c>
      <c r="D378" s="2828"/>
      <c r="E378" s="956">
        <f>E379</f>
        <v>20000</v>
      </c>
      <c r="F378" s="956">
        <f t="shared" si="79"/>
        <v>200000</v>
      </c>
      <c r="G378" s="957">
        <f t="shared" si="71"/>
        <v>10</v>
      </c>
    </row>
    <row r="379" spans="1:7" ht="42" customHeight="1" thickBot="1">
      <c r="A379" s="848"/>
      <c r="B379" s="860"/>
      <c r="C379" s="1289" t="s">
        <v>695</v>
      </c>
      <c r="D379" s="1301" t="s">
        <v>696</v>
      </c>
      <c r="E379" s="970">
        <v>20000</v>
      </c>
      <c r="F379" s="970">
        <v>200000</v>
      </c>
      <c r="G379" s="1304">
        <f t="shared" si="71"/>
        <v>10</v>
      </c>
    </row>
    <row r="380" spans="1:7" ht="20.25" customHeight="1" thickBot="1">
      <c r="A380" s="848"/>
      <c r="B380" s="1072" t="s">
        <v>198</v>
      </c>
      <c r="C380" s="1073"/>
      <c r="D380" s="1074" t="s">
        <v>199</v>
      </c>
      <c r="E380" s="1305">
        <f>E381</f>
        <v>25800</v>
      </c>
      <c r="F380" s="1305">
        <f t="shared" ref="F380:F382" si="80">F381</f>
        <v>500000</v>
      </c>
      <c r="G380" s="1306">
        <f t="shared" si="71"/>
        <v>19.379844961240309</v>
      </c>
    </row>
    <row r="381" spans="1:7" ht="15" customHeight="1">
      <c r="A381" s="848"/>
      <c r="B381" s="860"/>
      <c r="C381" s="3042" t="s">
        <v>574</v>
      </c>
      <c r="D381" s="3043"/>
      <c r="E381" s="962">
        <f>E382</f>
        <v>25800</v>
      </c>
      <c r="F381" s="962">
        <f t="shared" si="80"/>
        <v>500000</v>
      </c>
      <c r="G381" s="963">
        <f t="shared" si="71"/>
        <v>19.379844961240309</v>
      </c>
    </row>
    <row r="382" spans="1:7" ht="15.75" customHeight="1">
      <c r="A382" s="848"/>
      <c r="B382" s="860"/>
      <c r="C382" s="2828" t="s">
        <v>694</v>
      </c>
      <c r="D382" s="2828"/>
      <c r="E382" s="1307">
        <f>E383</f>
        <v>25800</v>
      </c>
      <c r="F382" s="1307">
        <f t="shared" si="80"/>
        <v>500000</v>
      </c>
      <c r="G382" s="1308">
        <f t="shared" si="71"/>
        <v>19.379844961240309</v>
      </c>
    </row>
    <row r="383" spans="1:7" ht="40.5" customHeight="1" thickBot="1">
      <c r="A383" s="848"/>
      <c r="B383" s="860"/>
      <c r="C383" s="1309" t="s">
        <v>695</v>
      </c>
      <c r="D383" s="1310" t="s">
        <v>696</v>
      </c>
      <c r="E383" s="970">
        <v>25800</v>
      </c>
      <c r="F383" s="970">
        <v>500000</v>
      </c>
      <c r="G383" s="1304">
        <f t="shared" si="71"/>
        <v>19.379844961240309</v>
      </c>
    </row>
    <row r="384" spans="1:7" ht="18.75" customHeight="1" thickBot="1">
      <c r="A384" s="848"/>
      <c r="B384" s="1072" t="s">
        <v>697</v>
      </c>
      <c r="C384" s="1073"/>
      <c r="D384" s="1074" t="s">
        <v>254</v>
      </c>
      <c r="E384" s="1075">
        <f>E385+E398</f>
        <v>672743</v>
      </c>
      <c r="F384" s="1075">
        <f t="shared" ref="F384" si="81">F385+F398</f>
        <v>581218</v>
      </c>
      <c r="G384" s="1076">
        <f t="shared" si="71"/>
        <v>0.86395250489414233</v>
      </c>
    </row>
    <row r="385" spans="1:7" ht="17.100000000000001" customHeight="1">
      <c r="A385" s="848"/>
      <c r="B385" s="2806"/>
      <c r="C385" s="2802" t="s">
        <v>521</v>
      </c>
      <c r="D385" s="2802"/>
      <c r="E385" s="854">
        <f t="shared" ref="E385:F385" si="82">E386</f>
        <v>612743</v>
      </c>
      <c r="F385" s="854">
        <f t="shared" si="82"/>
        <v>581218</v>
      </c>
      <c r="G385" s="855">
        <f t="shared" si="71"/>
        <v>0.9485510238387056</v>
      </c>
    </row>
    <row r="386" spans="1:7" ht="17.100000000000001" customHeight="1">
      <c r="A386" s="848"/>
      <c r="B386" s="2806"/>
      <c r="C386" s="3044" t="s">
        <v>522</v>
      </c>
      <c r="D386" s="3044"/>
      <c r="E386" s="1311">
        <f>E387+E393</f>
        <v>612743</v>
      </c>
      <c r="F386" s="1311">
        <f t="shared" ref="F386" si="83">F387+F393</f>
        <v>581218</v>
      </c>
      <c r="G386" s="1312">
        <f t="shared" si="71"/>
        <v>0.9485510238387056</v>
      </c>
    </row>
    <row r="387" spans="1:7" ht="17.100000000000001" customHeight="1">
      <c r="A387" s="848"/>
      <c r="B387" s="2806"/>
      <c r="C387" s="3045" t="s">
        <v>523</v>
      </c>
      <c r="D387" s="3045"/>
      <c r="E387" s="1313">
        <f>SUM(E388:E391)</f>
        <v>483353</v>
      </c>
      <c r="F387" s="1313">
        <f>SUM(F388:F391)</f>
        <v>493079</v>
      </c>
      <c r="G387" s="1314">
        <f t="shared" si="71"/>
        <v>1.0201219398658952</v>
      </c>
    </row>
    <row r="388" spans="1:7" ht="17.100000000000001" customHeight="1">
      <c r="A388" s="848"/>
      <c r="B388" s="2806"/>
      <c r="C388" s="1315" t="s">
        <v>524</v>
      </c>
      <c r="D388" s="1316" t="s">
        <v>525</v>
      </c>
      <c r="E388" s="1311">
        <v>363096</v>
      </c>
      <c r="F388" s="1311">
        <v>418077</v>
      </c>
      <c r="G388" s="1312">
        <f t="shared" si="71"/>
        <v>1.1514227642276422</v>
      </c>
    </row>
    <row r="389" spans="1:7" ht="17.100000000000001" customHeight="1">
      <c r="A389" s="848"/>
      <c r="B389" s="2806"/>
      <c r="C389" s="1315" t="s">
        <v>526</v>
      </c>
      <c r="D389" s="1316" t="s">
        <v>527</v>
      </c>
      <c r="E389" s="1311">
        <v>31271</v>
      </c>
      <c r="F389" s="1311">
        <v>31962</v>
      </c>
      <c r="G389" s="1312">
        <f t="shared" si="71"/>
        <v>1.0220971507147196</v>
      </c>
    </row>
    <row r="390" spans="1:7" ht="17.100000000000001" customHeight="1">
      <c r="A390" s="848"/>
      <c r="B390" s="2806"/>
      <c r="C390" s="1315" t="s">
        <v>528</v>
      </c>
      <c r="D390" s="1316" t="s">
        <v>529</v>
      </c>
      <c r="E390" s="1311">
        <v>79986</v>
      </c>
      <c r="F390" s="1311">
        <v>37722</v>
      </c>
      <c r="G390" s="1312">
        <f t="shared" si="71"/>
        <v>0.47160753131798067</v>
      </c>
    </row>
    <row r="391" spans="1:7" ht="17.100000000000001" customHeight="1">
      <c r="A391" s="848"/>
      <c r="B391" s="2806"/>
      <c r="C391" s="1317" t="s">
        <v>530</v>
      </c>
      <c r="D391" s="1318" t="s">
        <v>531</v>
      </c>
      <c r="E391" s="1311">
        <v>9000</v>
      </c>
      <c r="F391" s="1311">
        <v>5318</v>
      </c>
      <c r="G391" s="1312">
        <f t="shared" si="71"/>
        <v>0.59088888888888891</v>
      </c>
    </row>
    <row r="392" spans="1:7" ht="17.100000000000001" customHeight="1">
      <c r="A392" s="848"/>
      <c r="B392" s="2806"/>
      <c r="C392" s="1319"/>
      <c r="D392" s="1319"/>
      <c r="E392" s="1311"/>
      <c r="F392" s="1311"/>
      <c r="G392" s="1312"/>
    </row>
    <row r="393" spans="1:7" ht="17.100000000000001" customHeight="1">
      <c r="A393" s="848"/>
      <c r="B393" s="2806"/>
      <c r="C393" s="3046" t="s">
        <v>534</v>
      </c>
      <c r="D393" s="3046"/>
      <c r="E393" s="1313">
        <f>SUM(E394:E396)</f>
        <v>129390</v>
      </c>
      <c r="F393" s="1313">
        <f>SUM(F394:F396)</f>
        <v>88139</v>
      </c>
      <c r="G393" s="1314">
        <f t="shared" si="71"/>
        <v>0.68118865445552201</v>
      </c>
    </row>
    <row r="394" spans="1:7" ht="17.100000000000001" hidden="1" customHeight="1">
      <c r="A394" s="848"/>
      <c r="B394" s="2806"/>
      <c r="C394" s="1317" t="s">
        <v>535</v>
      </c>
      <c r="D394" s="1320" t="s">
        <v>536</v>
      </c>
      <c r="E394" s="1307">
        <v>9390</v>
      </c>
      <c r="F394" s="1307">
        <v>0</v>
      </c>
      <c r="G394" s="1308">
        <f t="shared" si="71"/>
        <v>0</v>
      </c>
    </row>
    <row r="395" spans="1:7" ht="17.100000000000001" customHeight="1">
      <c r="A395" s="848"/>
      <c r="B395" s="2806"/>
      <c r="C395" s="1309" t="s">
        <v>547</v>
      </c>
      <c r="D395" s="1310" t="s">
        <v>548</v>
      </c>
      <c r="E395" s="1307">
        <v>120000</v>
      </c>
      <c r="F395" s="1307">
        <v>80000</v>
      </c>
      <c r="G395" s="1308">
        <f t="shared" si="71"/>
        <v>0.66666666666666663</v>
      </c>
    </row>
    <row r="396" spans="1:7" ht="17.100000000000001" customHeight="1" thickBot="1">
      <c r="A396" s="848"/>
      <c r="B396" s="974"/>
      <c r="C396" s="1321" t="s">
        <v>559</v>
      </c>
      <c r="D396" s="1322" t="s">
        <v>560</v>
      </c>
      <c r="E396" s="1323">
        <v>0</v>
      </c>
      <c r="F396" s="1323">
        <v>8139</v>
      </c>
      <c r="G396" s="1324"/>
    </row>
    <row r="397" spans="1:7" ht="17.100000000000001" hidden="1" customHeight="1">
      <c r="A397" s="848"/>
      <c r="B397" s="974"/>
      <c r="C397" s="1325"/>
      <c r="D397" s="1322"/>
      <c r="E397" s="1323"/>
      <c r="F397" s="1323"/>
      <c r="G397" s="1324"/>
    </row>
    <row r="398" spans="1:7" ht="17.100000000000001" hidden="1" customHeight="1">
      <c r="A398" s="848"/>
      <c r="B398" s="974"/>
      <c r="C398" s="3022" t="s">
        <v>574</v>
      </c>
      <c r="D398" s="3023"/>
      <c r="E398" s="1326">
        <f>E399</f>
        <v>60000</v>
      </c>
      <c r="F398" s="1326">
        <f t="shared" ref="F398:F399" si="84">F399</f>
        <v>0</v>
      </c>
      <c r="G398" s="1327">
        <f t="shared" si="71"/>
        <v>0</v>
      </c>
    </row>
    <row r="399" spans="1:7" ht="17.100000000000001" hidden="1" customHeight="1">
      <c r="A399" s="848"/>
      <c r="B399" s="974"/>
      <c r="C399" s="2828" t="s">
        <v>694</v>
      </c>
      <c r="D399" s="2828"/>
      <c r="E399" s="1311">
        <f>E400</f>
        <v>60000</v>
      </c>
      <c r="F399" s="1311">
        <f t="shared" si="84"/>
        <v>0</v>
      </c>
      <c r="G399" s="1328">
        <f t="shared" si="71"/>
        <v>0</v>
      </c>
    </row>
    <row r="400" spans="1:7" ht="42.75" hidden="1" customHeight="1" thickBot="1">
      <c r="A400" s="848"/>
      <c r="B400" s="974"/>
      <c r="C400" s="1329" t="s">
        <v>695</v>
      </c>
      <c r="D400" s="1330" t="s">
        <v>696</v>
      </c>
      <c r="E400" s="962">
        <v>60000</v>
      </c>
      <c r="F400" s="962">
        <v>0</v>
      </c>
      <c r="G400" s="963">
        <f t="shared" si="71"/>
        <v>0</v>
      </c>
    </row>
    <row r="401" spans="1:7" ht="17.100000000000001" customHeight="1" thickBot="1">
      <c r="A401" s="842" t="s">
        <v>62</v>
      </c>
      <c r="B401" s="1205"/>
      <c r="C401" s="1206"/>
      <c r="D401" s="1207" t="s">
        <v>698</v>
      </c>
      <c r="E401" s="1208">
        <f>E402+E430</f>
        <v>1327870</v>
      </c>
      <c r="F401" s="1208">
        <f>F402+F430</f>
        <v>1522241</v>
      </c>
      <c r="G401" s="1209">
        <f t="shared" si="71"/>
        <v>1.1463780339942915</v>
      </c>
    </row>
    <row r="402" spans="1:7" ht="17.100000000000001" customHeight="1" thickBot="1">
      <c r="A402" s="848"/>
      <c r="B402" s="1072" t="s">
        <v>63</v>
      </c>
      <c r="C402" s="1073"/>
      <c r="D402" s="1074" t="s">
        <v>309</v>
      </c>
      <c r="E402" s="1075">
        <f>E403+E427</f>
        <v>728083</v>
      </c>
      <c r="F402" s="1075">
        <f>F403+F427</f>
        <v>1195721</v>
      </c>
      <c r="G402" s="1076">
        <f t="shared" si="71"/>
        <v>1.6422866623722845</v>
      </c>
    </row>
    <row r="403" spans="1:7" ht="17.100000000000001" customHeight="1">
      <c r="A403" s="848"/>
      <c r="B403" s="860"/>
      <c r="C403" s="2802" t="s">
        <v>521</v>
      </c>
      <c r="D403" s="2802"/>
      <c r="E403" s="854">
        <f>E404+E408+E411</f>
        <v>708083</v>
      </c>
      <c r="F403" s="854">
        <f>F404+F408+F411</f>
        <v>845721</v>
      </c>
      <c r="G403" s="855">
        <f t="shared" ref="G403:G485" si="85">F403/E403</f>
        <v>1.1943811671795539</v>
      </c>
    </row>
    <row r="404" spans="1:7" ht="17.100000000000001" customHeight="1">
      <c r="A404" s="848"/>
      <c r="B404" s="860"/>
      <c r="C404" s="3037" t="s">
        <v>522</v>
      </c>
      <c r="D404" s="3037"/>
      <c r="E404" s="1311">
        <f t="shared" ref="E404:F405" si="86">E405</f>
        <v>550000</v>
      </c>
      <c r="F404" s="1311">
        <f t="shared" si="86"/>
        <v>600000</v>
      </c>
      <c r="G404" s="1328">
        <f t="shared" si="85"/>
        <v>1.0909090909090908</v>
      </c>
    </row>
    <row r="405" spans="1:7" ht="17.100000000000001" customHeight="1">
      <c r="A405" s="848"/>
      <c r="B405" s="860"/>
      <c r="C405" s="3038" t="s">
        <v>534</v>
      </c>
      <c r="D405" s="3038"/>
      <c r="E405" s="1313">
        <f t="shared" si="86"/>
        <v>550000</v>
      </c>
      <c r="F405" s="1313">
        <f t="shared" si="86"/>
        <v>600000</v>
      </c>
      <c r="G405" s="1331">
        <f t="shared" si="85"/>
        <v>1.0909090909090908</v>
      </c>
    </row>
    <row r="406" spans="1:7" ht="17.100000000000001" customHeight="1">
      <c r="A406" s="848"/>
      <c r="B406" s="860"/>
      <c r="C406" s="1332" t="s">
        <v>557</v>
      </c>
      <c r="D406" s="1333" t="s">
        <v>558</v>
      </c>
      <c r="E406" s="1311">
        <v>550000</v>
      </c>
      <c r="F406" s="1311">
        <f>550000+50000</f>
        <v>600000</v>
      </c>
      <c r="G406" s="1328">
        <f t="shared" si="85"/>
        <v>1.0909090909090908</v>
      </c>
    </row>
    <row r="407" spans="1:7" ht="17.100000000000001" customHeight="1">
      <c r="A407" s="848"/>
      <c r="B407" s="860"/>
      <c r="C407" s="1334"/>
      <c r="D407" s="1335"/>
      <c r="E407" s="1311"/>
      <c r="F407" s="1311"/>
      <c r="G407" s="1328"/>
    </row>
    <row r="408" spans="1:7" ht="17.100000000000001" customHeight="1">
      <c r="A408" s="848"/>
      <c r="B408" s="860"/>
      <c r="C408" s="3039" t="s">
        <v>618</v>
      </c>
      <c r="D408" s="3039"/>
      <c r="E408" s="1311">
        <f t="shared" ref="E408:F408" si="87">E409</f>
        <v>100000</v>
      </c>
      <c r="F408" s="1311">
        <f t="shared" si="87"/>
        <v>100000</v>
      </c>
      <c r="G408" s="1328">
        <f t="shared" si="85"/>
        <v>1</v>
      </c>
    </row>
    <row r="409" spans="1:7" ht="50.25" customHeight="1">
      <c r="A409" s="848"/>
      <c r="B409" s="860"/>
      <c r="C409" s="1332" t="s">
        <v>633</v>
      </c>
      <c r="D409" s="1333" t="s">
        <v>699</v>
      </c>
      <c r="E409" s="1311">
        <v>100000</v>
      </c>
      <c r="F409" s="1311">
        <v>100000</v>
      </c>
      <c r="G409" s="1328">
        <f t="shared" si="85"/>
        <v>1</v>
      </c>
    </row>
    <row r="410" spans="1:7">
      <c r="A410" s="848"/>
      <c r="B410" s="860"/>
      <c r="C410" s="1336"/>
      <c r="D410" s="1337"/>
      <c r="E410" s="1323"/>
      <c r="F410" s="1338"/>
      <c r="G410" s="1328"/>
    </row>
    <row r="411" spans="1:7" ht="18" customHeight="1">
      <c r="A411" s="848"/>
      <c r="B411" s="860"/>
      <c r="C411" s="3024" t="s">
        <v>587</v>
      </c>
      <c r="D411" s="3025"/>
      <c r="E411" s="1311">
        <f>SUM(E412:E425)</f>
        <v>58083</v>
      </c>
      <c r="F411" s="1311">
        <f>SUM(F412:F425)</f>
        <v>145721</v>
      </c>
      <c r="G411" s="1328">
        <f t="shared" si="85"/>
        <v>2.5088407967907993</v>
      </c>
    </row>
    <row r="412" spans="1:7" ht="18" customHeight="1">
      <c r="A412" s="848"/>
      <c r="B412" s="860"/>
      <c r="C412" s="1339" t="s">
        <v>591</v>
      </c>
      <c r="D412" s="1340" t="s">
        <v>525</v>
      </c>
      <c r="E412" s="1311">
        <v>2128</v>
      </c>
      <c r="F412" s="1341">
        <v>8512</v>
      </c>
      <c r="G412" s="1328">
        <f t="shared" si="85"/>
        <v>4</v>
      </c>
    </row>
    <row r="413" spans="1:7" ht="18" customHeight="1">
      <c r="A413" s="848"/>
      <c r="B413" s="860"/>
      <c r="C413" s="1339" t="s">
        <v>592</v>
      </c>
      <c r="D413" s="1340" t="s">
        <v>525</v>
      </c>
      <c r="E413" s="1311">
        <v>375</v>
      </c>
      <c r="F413" s="1341">
        <v>1502</v>
      </c>
      <c r="G413" s="1328">
        <f t="shared" si="85"/>
        <v>4.0053333333333336</v>
      </c>
    </row>
    <row r="414" spans="1:7" ht="18" customHeight="1">
      <c r="A414" s="848"/>
      <c r="B414" s="860"/>
      <c r="C414" s="1339" t="s">
        <v>595</v>
      </c>
      <c r="D414" s="1340" t="s">
        <v>529</v>
      </c>
      <c r="E414" s="1311">
        <v>369</v>
      </c>
      <c r="F414" s="1341">
        <v>1480</v>
      </c>
      <c r="G414" s="1328">
        <f t="shared" si="85"/>
        <v>4.0108401084010836</v>
      </c>
    </row>
    <row r="415" spans="1:7" ht="18" customHeight="1">
      <c r="A415" s="848"/>
      <c r="B415" s="860"/>
      <c r="C415" s="1339" t="s">
        <v>596</v>
      </c>
      <c r="D415" s="1340" t="s">
        <v>529</v>
      </c>
      <c r="E415" s="1311">
        <v>66</v>
      </c>
      <c r="F415" s="1341">
        <v>261</v>
      </c>
      <c r="G415" s="1328">
        <f t="shared" si="85"/>
        <v>3.9545454545454546</v>
      </c>
    </row>
    <row r="416" spans="1:7" ht="18" customHeight="1">
      <c r="A416" s="848"/>
      <c r="B416" s="860"/>
      <c r="C416" s="1339" t="s">
        <v>597</v>
      </c>
      <c r="D416" s="1340" t="s">
        <v>531</v>
      </c>
      <c r="E416" s="1311">
        <v>52</v>
      </c>
      <c r="F416" s="1341">
        <v>208</v>
      </c>
      <c r="G416" s="1328">
        <f t="shared" si="85"/>
        <v>4</v>
      </c>
    </row>
    <row r="417" spans="1:7" ht="18" customHeight="1">
      <c r="A417" s="848"/>
      <c r="B417" s="860"/>
      <c r="C417" s="1339" t="s">
        <v>598</v>
      </c>
      <c r="D417" s="1340" t="s">
        <v>531</v>
      </c>
      <c r="E417" s="1311">
        <v>10</v>
      </c>
      <c r="F417" s="1341">
        <v>37</v>
      </c>
      <c r="G417" s="1328">
        <f t="shared" si="85"/>
        <v>3.7</v>
      </c>
    </row>
    <row r="418" spans="1:7" ht="18" customHeight="1">
      <c r="A418" s="848"/>
      <c r="B418" s="860"/>
      <c r="C418" s="1339" t="s">
        <v>608</v>
      </c>
      <c r="D418" s="1340" t="s">
        <v>548</v>
      </c>
      <c r="E418" s="1311">
        <v>45971</v>
      </c>
      <c r="F418" s="1341">
        <v>77113</v>
      </c>
      <c r="G418" s="1328">
        <f t="shared" si="85"/>
        <v>1.677427073589872</v>
      </c>
    </row>
    <row r="419" spans="1:7" ht="18" customHeight="1">
      <c r="A419" s="848"/>
      <c r="B419" s="860"/>
      <c r="C419" s="1339" t="s">
        <v>609</v>
      </c>
      <c r="D419" s="1340" t="s">
        <v>548</v>
      </c>
      <c r="E419" s="1311">
        <v>8112</v>
      </c>
      <c r="F419" s="1341">
        <v>13608</v>
      </c>
      <c r="G419" s="1328">
        <f t="shared" si="85"/>
        <v>1.6775147928994083</v>
      </c>
    </row>
    <row r="420" spans="1:7" ht="18" customHeight="1">
      <c r="A420" s="848"/>
      <c r="B420" s="860"/>
      <c r="C420" s="1339" t="s">
        <v>728</v>
      </c>
      <c r="D420" s="1340" t="s">
        <v>701</v>
      </c>
      <c r="E420" s="1311">
        <v>0</v>
      </c>
      <c r="F420" s="1341">
        <v>25500</v>
      </c>
      <c r="G420" s="1328"/>
    </row>
    <row r="421" spans="1:7" ht="18" customHeight="1">
      <c r="A421" s="848"/>
      <c r="B421" s="860"/>
      <c r="C421" s="1339" t="s">
        <v>700</v>
      </c>
      <c r="D421" s="1340" t="s">
        <v>701</v>
      </c>
      <c r="E421" s="1311">
        <v>0</v>
      </c>
      <c r="F421" s="1341">
        <v>4500</v>
      </c>
      <c r="G421" s="1328"/>
    </row>
    <row r="422" spans="1:7" ht="18" customHeight="1">
      <c r="A422" s="848"/>
      <c r="B422" s="860"/>
      <c r="C422" s="1339" t="s">
        <v>612</v>
      </c>
      <c r="D422" s="1340" t="s">
        <v>556</v>
      </c>
      <c r="E422" s="1311">
        <v>850</v>
      </c>
      <c r="F422" s="1341">
        <v>2550</v>
      </c>
      <c r="G422" s="1328">
        <f t="shared" si="85"/>
        <v>3</v>
      </c>
    </row>
    <row r="423" spans="1:7" ht="18" customHeight="1">
      <c r="A423" s="848"/>
      <c r="B423" s="860"/>
      <c r="C423" s="1339" t="s">
        <v>613</v>
      </c>
      <c r="D423" s="1340" t="s">
        <v>556</v>
      </c>
      <c r="E423" s="1311">
        <v>150</v>
      </c>
      <c r="F423" s="1341">
        <v>450</v>
      </c>
      <c r="G423" s="1328">
        <f t="shared" si="85"/>
        <v>3</v>
      </c>
    </row>
    <row r="424" spans="1:7" ht="18" customHeight="1">
      <c r="A424" s="848"/>
      <c r="B424" s="860"/>
      <c r="C424" s="1339" t="s">
        <v>702</v>
      </c>
      <c r="D424" s="1340" t="s">
        <v>684</v>
      </c>
      <c r="E424" s="1311">
        <v>0</v>
      </c>
      <c r="F424" s="1341">
        <v>8500</v>
      </c>
      <c r="G424" s="1328"/>
    </row>
    <row r="425" spans="1:7" ht="18" customHeight="1">
      <c r="A425" s="848"/>
      <c r="B425" s="860"/>
      <c r="C425" s="1339" t="s">
        <v>703</v>
      </c>
      <c r="D425" s="1340" t="s">
        <v>684</v>
      </c>
      <c r="E425" s="1311">
        <v>0</v>
      </c>
      <c r="F425" s="1341">
        <v>1500</v>
      </c>
      <c r="G425" s="1328"/>
    </row>
    <row r="426" spans="1:7">
      <c r="A426" s="848"/>
      <c r="B426" s="860"/>
      <c r="C426" s="3026"/>
      <c r="D426" s="3027"/>
      <c r="E426" s="1311"/>
      <c r="F426" s="1341"/>
      <c r="G426" s="1328"/>
    </row>
    <row r="427" spans="1:7" ht="18.75" customHeight="1">
      <c r="A427" s="848"/>
      <c r="B427" s="860"/>
      <c r="C427" s="3028" t="s">
        <v>574</v>
      </c>
      <c r="D427" s="3029"/>
      <c r="E427" s="1342">
        <f>E428</f>
        <v>20000</v>
      </c>
      <c r="F427" s="2198">
        <f t="shared" ref="F427:F428" si="88">F428</f>
        <v>350000</v>
      </c>
      <c r="G427" s="1343">
        <f t="shared" si="85"/>
        <v>17.5</v>
      </c>
    </row>
    <row r="428" spans="1:7" ht="18" customHeight="1">
      <c r="A428" s="848"/>
      <c r="B428" s="860"/>
      <c r="C428" s="2828" t="s">
        <v>694</v>
      </c>
      <c r="D428" s="2828"/>
      <c r="E428" s="1311">
        <f>E429</f>
        <v>20000</v>
      </c>
      <c r="F428" s="1311">
        <f t="shared" si="88"/>
        <v>350000</v>
      </c>
      <c r="G428" s="1328">
        <f t="shared" si="85"/>
        <v>17.5</v>
      </c>
    </row>
    <row r="429" spans="1:7" ht="51.75" thickBot="1">
      <c r="A429" s="848"/>
      <c r="B429" s="860"/>
      <c r="C429" s="1344" t="s">
        <v>912</v>
      </c>
      <c r="D429" s="1345" t="s">
        <v>990</v>
      </c>
      <c r="E429" s="970">
        <v>20000</v>
      </c>
      <c r="F429" s="970">
        <v>350000</v>
      </c>
      <c r="G429" s="1304">
        <f t="shared" si="85"/>
        <v>17.5</v>
      </c>
    </row>
    <row r="430" spans="1:7" ht="17.100000000000001" customHeight="1" thickBot="1">
      <c r="A430" s="848"/>
      <c r="B430" s="1072" t="s">
        <v>704</v>
      </c>
      <c r="C430" s="1073"/>
      <c r="D430" s="1074" t="s">
        <v>254</v>
      </c>
      <c r="E430" s="1075">
        <f>SUM(E431+E451)</f>
        <v>599787</v>
      </c>
      <c r="F430" s="1075">
        <f>SUM(F431+F451)</f>
        <v>326520</v>
      </c>
      <c r="G430" s="1076">
        <f t="shared" si="85"/>
        <v>0.54439325960716056</v>
      </c>
    </row>
    <row r="431" spans="1:7" ht="17.100000000000001" customHeight="1">
      <c r="A431" s="848"/>
      <c r="B431" s="3030"/>
      <c r="C431" s="2890" t="s">
        <v>521</v>
      </c>
      <c r="D431" s="2829"/>
      <c r="E431" s="1346">
        <f>E432+E448</f>
        <v>439787</v>
      </c>
      <c r="F431" s="1346">
        <f>F432+F448</f>
        <v>326520</v>
      </c>
      <c r="G431" s="1347">
        <f t="shared" si="85"/>
        <v>0.74245032254250354</v>
      </c>
    </row>
    <row r="432" spans="1:7" ht="16.5" customHeight="1">
      <c r="A432" s="848"/>
      <c r="B432" s="3031"/>
      <c r="C432" s="3032" t="s">
        <v>522</v>
      </c>
      <c r="D432" s="3033"/>
      <c r="E432" s="1348">
        <f>E433+E440</f>
        <v>419787</v>
      </c>
      <c r="F432" s="1348">
        <f>F433+F440</f>
        <v>326520</v>
      </c>
      <c r="G432" s="1349">
        <f t="shared" si="85"/>
        <v>0.77782303882683357</v>
      </c>
    </row>
    <row r="433" spans="1:7" ht="16.5" customHeight="1">
      <c r="A433" s="848"/>
      <c r="B433" s="3031"/>
      <c r="C433" s="3017" t="s">
        <v>523</v>
      </c>
      <c r="D433" s="3017"/>
      <c r="E433" s="1313">
        <f>SUM(E434:E438)</f>
        <v>285061</v>
      </c>
      <c r="F433" s="1313">
        <f>SUM(F434:F438)</f>
        <v>281756</v>
      </c>
      <c r="G433" s="1331">
        <f t="shared" si="85"/>
        <v>0.98840599029681364</v>
      </c>
    </row>
    <row r="434" spans="1:7" ht="16.5" customHeight="1">
      <c r="A434" s="848"/>
      <c r="B434" s="3031"/>
      <c r="C434" s="1350" t="s">
        <v>524</v>
      </c>
      <c r="D434" s="1351" t="s">
        <v>525</v>
      </c>
      <c r="E434" s="1311">
        <v>188499</v>
      </c>
      <c r="F434" s="1311">
        <v>222230</v>
      </c>
      <c r="G434" s="1328">
        <f t="shared" si="85"/>
        <v>1.1789452463938801</v>
      </c>
    </row>
    <row r="435" spans="1:7" ht="16.5" customHeight="1">
      <c r="A435" s="848"/>
      <c r="B435" s="3031"/>
      <c r="C435" s="1350" t="s">
        <v>526</v>
      </c>
      <c r="D435" s="1351" t="s">
        <v>527</v>
      </c>
      <c r="E435" s="1311">
        <v>16798</v>
      </c>
      <c r="F435" s="1311">
        <v>15733</v>
      </c>
      <c r="G435" s="1328">
        <f t="shared" si="85"/>
        <v>0.93659959518990354</v>
      </c>
    </row>
    <row r="436" spans="1:7" ht="16.5" customHeight="1">
      <c r="A436" s="848"/>
      <c r="B436" s="3031"/>
      <c r="C436" s="1350" t="s">
        <v>528</v>
      </c>
      <c r="D436" s="1351" t="s">
        <v>529</v>
      </c>
      <c r="E436" s="1311">
        <f>1350+45706</f>
        <v>47056</v>
      </c>
      <c r="F436" s="1311">
        <v>38383</v>
      </c>
      <c r="G436" s="1328">
        <f t="shared" si="85"/>
        <v>0.81568769126147567</v>
      </c>
    </row>
    <row r="437" spans="1:7" ht="16.5" customHeight="1">
      <c r="A437" s="848"/>
      <c r="B437" s="3031"/>
      <c r="C437" s="1352" t="s">
        <v>530</v>
      </c>
      <c r="D437" s="1353" t="s">
        <v>531</v>
      </c>
      <c r="E437" s="1311">
        <v>25200</v>
      </c>
      <c r="F437" s="1311">
        <v>5410</v>
      </c>
      <c r="G437" s="1328">
        <f t="shared" si="85"/>
        <v>0.21468253968253967</v>
      </c>
    </row>
    <row r="438" spans="1:7" ht="16.5" hidden="1" customHeight="1">
      <c r="A438" s="848"/>
      <c r="B438" s="3031"/>
      <c r="C438" s="1352" t="s">
        <v>532</v>
      </c>
      <c r="D438" s="1353" t="s">
        <v>533</v>
      </c>
      <c r="E438" s="1311">
        <v>7508</v>
      </c>
      <c r="F438" s="1311">
        <v>0</v>
      </c>
      <c r="G438" s="1328">
        <f t="shared" si="85"/>
        <v>0</v>
      </c>
    </row>
    <row r="439" spans="1:7" ht="16.5" customHeight="1">
      <c r="A439" s="848"/>
      <c r="B439" s="3031"/>
      <c r="C439" s="3034"/>
      <c r="D439" s="3035"/>
      <c r="E439" s="1348"/>
      <c r="F439" s="1348"/>
      <c r="G439" s="1349"/>
    </row>
    <row r="440" spans="1:7" ht="16.5" customHeight="1">
      <c r="A440" s="848"/>
      <c r="B440" s="3031"/>
      <c r="C440" s="3036" t="s">
        <v>534</v>
      </c>
      <c r="D440" s="2988"/>
      <c r="E440" s="1348">
        <f>SUM(E441:E446)</f>
        <v>134726</v>
      </c>
      <c r="F440" s="1348">
        <f>SUM(F441:F446)</f>
        <v>44764</v>
      </c>
      <c r="G440" s="1349">
        <f t="shared" si="85"/>
        <v>0.33225954901058447</v>
      </c>
    </row>
    <row r="441" spans="1:7" ht="16.5" hidden="1" customHeight="1">
      <c r="A441" s="848"/>
      <c r="B441" s="3031"/>
      <c r="C441" s="1354" t="s">
        <v>535</v>
      </c>
      <c r="D441" s="1355" t="s">
        <v>536</v>
      </c>
      <c r="E441" s="1356">
        <v>5366</v>
      </c>
      <c r="F441" s="1356">
        <v>0</v>
      </c>
      <c r="G441" s="1357">
        <f t="shared" si="85"/>
        <v>0</v>
      </c>
    </row>
    <row r="442" spans="1:7" ht="14.25" customHeight="1">
      <c r="A442" s="848"/>
      <c r="B442" s="3031"/>
      <c r="C442" s="1358" t="s">
        <v>547</v>
      </c>
      <c r="D442" s="1359" t="s">
        <v>548</v>
      </c>
      <c r="E442" s="1356">
        <v>20000</v>
      </c>
      <c r="F442" s="1356">
        <f>20000+20000</f>
        <v>40000</v>
      </c>
      <c r="G442" s="1357">
        <f t="shared" si="85"/>
        <v>2</v>
      </c>
    </row>
    <row r="443" spans="1:7" ht="16.5" customHeight="1" thickBot="1">
      <c r="A443" s="848"/>
      <c r="B443" s="1360"/>
      <c r="C443" s="1361" t="s">
        <v>559</v>
      </c>
      <c r="D443" s="1359" t="s">
        <v>560</v>
      </c>
      <c r="E443" s="1356">
        <v>0</v>
      </c>
      <c r="F443" s="1356">
        <v>4764</v>
      </c>
      <c r="G443" s="1357"/>
    </row>
    <row r="444" spans="1:7" ht="17.25" hidden="1" customHeight="1">
      <c r="A444" s="848"/>
      <c r="B444" s="1360"/>
      <c r="C444" s="1362" t="s">
        <v>685</v>
      </c>
      <c r="D444" s="1353" t="s">
        <v>686</v>
      </c>
      <c r="E444" s="1356">
        <v>13465</v>
      </c>
      <c r="F444" s="1356">
        <v>0</v>
      </c>
      <c r="G444" s="1357">
        <f t="shared" si="85"/>
        <v>0</v>
      </c>
    </row>
    <row r="445" spans="1:7" ht="28.5" hidden="1" customHeight="1">
      <c r="A445" s="848"/>
      <c r="B445" s="1360"/>
      <c r="C445" s="1363" t="s">
        <v>687</v>
      </c>
      <c r="D445" s="1353" t="s">
        <v>688</v>
      </c>
      <c r="E445" s="1356">
        <v>89588</v>
      </c>
      <c r="F445" s="1356">
        <v>0</v>
      </c>
      <c r="G445" s="1357">
        <f t="shared" si="85"/>
        <v>0</v>
      </c>
    </row>
    <row r="446" spans="1:7" ht="21" hidden="1" customHeight="1">
      <c r="A446" s="848"/>
      <c r="B446" s="1360"/>
      <c r="C446" s="1363" t="s">
        <v>631</v>
      </c>
      <c r="D446" s="1353" t="s">
        <v>632</v>
      </c>
      <c r="E446" s="1356">
        <v>6307</v>
      </c>
      <c r="F446" s="1356">
        <v>0</v>
      </c>
      <c r="G446" s="1357">
        <f t="shared" si="85"/>
        <v>0</v>
      </c>
    </row>
    <row r="447" spans="1:7" ht="14.25" hidden="1" customHeight="1">
      <c r="A447" s="848"/>
      <c r="B447" s="1360"/>
      <c r="C447" s="1364"/>
      <c r="D447" s="1365"/>
      <c r="E447" s="1356"/>
      <c r="F447" s="1356"/>
      <c r="G447" s="1357"/>
    </row>
    <row r="448" spans="1:7" ht="16.5" hidden="1" customHeight="1">
      <c r="A448" s="848"/>
      <c r="B448" s="1360"/>
      <c r="C448" s="3016" t="s">
        <v>618</v>
      </c>
      <c r="D448" s="3016"/>
      <c r="E448" s="1348">
        <f>E449</f>
        <v>20000</v>
      </c>
      <c r="F448" s="1348">
        <f t="shared" ref="F448" si="89">F449</f>
        <v>0</v>
      </c>
      <c r="G448" s="1349">
        <f t="shared" si="85"/>
        <v>0</v>
      </c>
    </row>
    <row r="449" spans="1:7" ht="39.75" hidden="1" customHeight="1">
      <c r="A449" s="848"/>
      <c r="B449" s="1360"/>
      <c r="C449" s="1350" t="s">
        <v>705</v>
      </c>
      <c r="D449" s="1351" t="s">
        <v>706</v>
      </c>
      <c r="E449" s="1356">
        <v>20000</v>
      </c>
      <c r="F449" s="1356">
        <v>0</v>
      </c>
      <c r="G449" s="1357">
        <f t="shared" si="85"/>
        <v>0</v>
      </c>
    </row>
    <row r="450" spans="1:7" ht="16.5" hidden="1" customHeight="1">
      <c r="A450" s="848"/>
      <c r="B450" s="1360"/>
      <c r="C450" s="1366"/>
      <c r="D450" s="1367"/>
      <c r="E450" s="1356"/>
      <c r="F450" s="1356"/>
      <c r="G450" s="1357"/>
    </row>
    <row r="451" spans="1:7" ht="16.5" hidden="1" customHeight="1">
      <c r="A451" s="848"/>
      <c r="B451" s="1360"/>
      <c r="C451" s="3022" t="s">
        <v>574</v>
      </c>
      <c r="D451" s="3023"/>
      <c r="E451" s="1368">
        <f>E452</f>
        <v>160000</v>
      </c>
      <c r="F451" s="1368">
        <f t="shared" ref="F451:F452" si="90">F452</f>
        <v>0</v>
      </c>
      <c r="G451" s="1369">
        <f t="shared" si="85"/>
        <v>0</v>
      </c>
    </row>
    <row r="452" spans="1:7" ht="16.5" hidden="1" customHeight="1">
      <c r="A452" s="848"/>
      <c r="B452" s="1360"/>
      <c r="C452" s="2828" t="s">
        <v>694</v>
      </c>
      <c r="D452" s="2789"/>
      <c r="E452" s="1356">
        <f>E453</f>
        <v>160000</v>
      </c>
      <c r="F452" s="1356">
        <f t="shared" si="90"/>
        <v>0</v>
      </c>
      <c r="G452" s="1357">
        <f t="shared" si="85"/>
        <v>0</v>
      </c>
    </row>
    <row r="453" spans="1:7" ht="39.75" hidden="1" customHeight="1" thickBot="1">
      <c r="A453" s="848"/>
      <c r="B453" s="1360"/>
      <c r="C453" s="1344" t="s">
        <v>695</v>
      </c>
      <c r="D453" s="1370" t="s">
        <v>696</v>
      </c>
      <c r="E453" s="1371">
        <f>10000+150000</f>
        <v>160000</v>
      </c>
      <c r="F453" s="1371">
        <v>0</v>
      </c>
      <c r="G453" s="1372">
        <f t="shared" si="85"/>
        <v>0</v>
      </c>
    </row>
    <row r="454" spans="1:7" ht="17.100000000000001" customHeight="1" thickBot="1">
      <c r="A454" s="842" t="s">
        <v>191</v>
      </c>
      <c r="B454" s="843"/>
      <c r="C454" s="844"/>
      <c r="D454" s="845" t="s">
        <v>707</v>
      </c>
      <c r="E454" s="846">
        <f>E455+E477</f>
        <v>1256665</v>
      </c>
      <c r="F454" s="846">
        <f t="shared" ref="F454" si="91">F455+F477</f>
        <v>1080000</v>
      </c>
      <c r="G454" s="847">
        <f t="shared" si="85"/>
        <v>0.85941758543446345</v>
      </c>
    </row>
    <row r="455" spans="1:7" ht="17.100000000000001" customHeight="1" thickBot="1">
      <c r="A455" s="848"/>
      <c r="B455" s="1072" t="s">
        <v>192</v>
      </c>
      <c r="C455" s="1073"/>
      <c r="D455" s="1074" t="s">
        <v>190</v>
      </c>
      <c r="E455" s="1075">
        <f>E456+E473</f>
        <v>1237625</v>
      </c>
      <c r="F455" s="1075">
        <f>F456+F473</f>
        <v>1080000</v>
      </c>
      <c r="G455" s="1076">
        <f t="shared" si="85"/>
        <v>0.87263912736087268</v>
      </c>
    </row>
    <row r="456" spans="1:7" ht="17.100000000000001" customHeight="1">
      <c r="A456" s="848"/>
      <c r="B456" s="974"/>
      <c r="C456" s="2802" t="s">
        <v>521</v>
      </c>
      <c r="D456" s="2802"/>
      <c r="E456" s="854">
        <f>E457+E470</f>
        <v>832991</v>
      </c>
      <c r="F456" s="854">
        <f t="shared" ref="F456" si="92">F457+F470</f>
        <v>564000</v>
      </c>
      <c r="G456" s="855">
        <f t="shared" si="85"/>
        <v>0.6770781437014326</v>
      </c>
    </row>
    <row r="457" spans="1:7" ht="17.100000000000001" customHeight="1">
      <c r="A457" s="848"/>
      <c r="B457" s="974"/>
      <c r="C457" s="3012" t="s">
        <v>522</v>
      </c>
      <c r="D457" s="3012"/>
      <c r="E457" s="1373">
        <f>E459</f>
        <v>773423</v>
      </c>
      <c r="F457" s="1373">
        <f t="shared" ref="F457" si="93">F459</f>
        <v>564000</v>
      </c>
      <c r="G457" s="1328">
        <f t="shared" si="85"/>
        <v>0.72922579235424856</v>
      </c>
    </row>
    <row r="458" spans="1:7" ht="17.100000000000001" customHeight="1">
      <c r="A458" s="848"/>
      <c r="B458" s="974"/>
      <c r="C458" s="1374"/>
      <c r="D458" s="1374"/>
      <c r="E458" s="1373"/>
      <c r="F458" s="1373"/>
      <c r="G458" s="1328"/>
    </row>
    <row r="459" spans="1:7" ht="17.100000000000001" customHeight="1">
      <c r="A459" s="848"/>
      <c r="B459" s="974"/>
      <c r="C459" s="3009" t="s">
        <v>534</v>
      </c>
      <c r="D459" s="3009"/>
      <c r="E459" s="1375">
        <f>SUM(E460:E468)</f>
        <v>773423</v>
      </c>
      <c r="F459" s="1375">
        <f>SUM(F460:F468)</f>
        <v>564000</v>
      </c>
      <c r="G459" s="1331">
        <f t="shared" si="85"/>
        <v>0.72922579235424856</v>
      </c>
    </row>
    <row r="460" spans="1:7" ht="17.100000000000001" customHeight="1">
      <c r="A460" s="848"/>
      <c r="B460" s="860"/>
      <c r="C460" s="1350" t="s">
        <v>537</v>
      </c>
      <c r="D460" s="1351" t="s">
        <v>538</v>
      </c>
      <c r="E460" s="1373">
        <v>10000</v>
      </c>
      <c r="F460" s="1373">
        <v>10000</v>
      </c>
      <c r="G460" s="1328">
        <f t="shared" si="85"/>
        <v>1</v>
      </c>
    </row>
    <row r="461" spans="1:7" ht="17.100000000000001" customHeight="1">
      <c r="A461" s="848"/>
      <c r="B461" s="860"/>
      <c r="C461" s="1350" t="s">
        <v>541</v>
      </c>
      <c r="D461" s="1351" t="s">
        <v>542</v>
      </c>
      <c r="E461" s="1373">
        <v>0</v>
      </c>
      <c r="F461" s="1373">
        <v>60000</v>
      </c>
      <c r="G461" s="1328"/>
    </row>
    <row r="462" spans="1:7" ht="17.100000000000001" customHeight="1">
      <c r="A462" s="848"/>
      <c r="B462" s="860"/>
      <c r="C462" s="1350" t="s">
        <v>543</v>
      </c>
      <c r="D462" s="1351" t="s">
        <v>544</v>
      </c>
      <c r="E462" s="1373">
        <v>10000</v>
      </c>
      <c r="F462" s="1373">
        <v>50000</v>
      </c>
      <c r="G462" s="1328">
        <f t="shared" si="85"/>
        <v>5</v>
      </c>
    </row>
    <row r="463" spans="1:7" ht="17.100000000000001" customHeight="1">
      <c r="A463" s="848"/>
      <c r="B463" s="860"/>
      <c r="C463" s="1350" t="s">
        <v>547</v>
      </c>
      <c r="D463" s="1351" t="s">
        <v>548</v>
      </c>
      <c r="E463" s="1373">
        <v>301673</v>
      </c>
      <c r="F463" s="1373">
        <v>285000</v>
      </c>
      <c r="G463" s="1328">
        <f t="shared" si="85"/>
        <v>0.94473154707249241</v>
      </c>
    </row>
    <row r="464" spans="1:7" ht="17.100000000000001" customHeight="1">
      <c r="A464" s="848"/>
      <c r="B464" s="860"/>
      <c r="C464" s="1350" t="s">
        <v>557</v>
      </c>
      <c r="D464" s="1351" t="s">
        <v>558</v>
      </c>
      <c r="E464" s="1373">
        <v>0</v>
      </c>
      <c r="F464" s="1373">
        <v>7000</v>
      </c>
      <c r="G464" s="1328"/>
    </row>
    <row r="465" spans="1:7" ht="17.100000000000001" customHeight="1">
      <c r="A465" s="848"/>
      <c r="B465" s="860"/>
      <c r="C465" s="1350" t="s">
        <v>561</v>
      </c>
      <c r="D465" s="1351" t="s">
        <v>562</v>
      </c>
      <c r="E465" s="1373">
        <v>100000</v>
      </c>
      <c r="F465" s="1373">
        <v>110000</v>
      </c>
      <c r="G465" s="1328">
        <f t="shared" si="85"/>
        <v>1.1000000000000001</v>
      </c>
    </row>
    <row r="466" spans="1:7" ht="17.100000000000001" customHeight="1">
      <c r="A466" s="848"/>
      <c r="B466" s="860"/>
      <c r="C466" s="1350" t="s">
        <v>565</v>
      </c>
      <c r="D466" s="1351" t="s">
        <v>566</v>
      </c>
      <c r="E466" s="1373">
        <v>270000</v>
      </c>
      <c r="F466" s="1373">
        <v>2000</v>
      </c>
      <c r="G466" s="1328">
        <f t="shared" si="85"/>
        <v>7.4074074074074077E-3</v>
      </c>
    </row>
    <row r="467" spans="1:7" ht="17.100000000000001" hidden="1" customHeight="1">
      <c r="A467" s="848"/>
      <c r="B467" s="860"/>
      <c r="C467" s="1350" t="s">
        <v>567</v>
      </c>
      <c r="D467" s="1351" t="s">
        <v>568</v>
      </c>
      <c r="E467" s="1373">
        <v>51750</v>
      </c>
      <c r="F467" s="1373">
        <v>0</v>
      </c>
      <c r="G467" s="1328">
        <f t="shared" si="85"/>
        <v>0</v>
      </c>
    </row>
    <row r="468" spans="1:7" ht="15.75" customHeight="1">
      <c r="A468" s="848"/>
      <c r="B468" s="860"/>
      <c r="C468" s="1350" t="s">
        <v>631</v>
      </c>
      <c r="D468" s="1351" t="s">
        <v>632</v>
      </c>
      <c r="E468" s="1373">
        <v>30000</v>
      </c>
      <c r="F468" s="1373">
        <v>40000</v>
      </c>
      <c r="G468" s="1328">
        <f t="shared" si="85"/>
        <v>1.3333333333333333</v>
      </c>
    </row>
    <row r="469" spans="1:7" ht="15" hidden="1" customHeight="1">
      <c r="A469" s="848"/>
      <c r="B469" s="860"/>
      <c r="C469" s="1366"/>
      <c r="D469" s="1376"/>
      <c r="E469" s="962"/>
      <c r="F469" s="962"/>
      <c r="G469" s="963"/>
    </row>
    <row r="470" spans="1:7" ht="15" hidden="1" customHeight="1">
      <c r="A470" s="848"/>
      <c r="B470" s="860"/>
      <c r="C470" s="3016" t="s">
        <v>618</v>
      </c>
      <c r="D470" s="3016"/>
      <c r="E470" s="1323">
        <f>E471</f>
        <v>59568</v>
      </c>
      <c r="F470" s="1323">
        <f t="shared" ref="F470" si="94">F471</f>
        <v>0</v>
      </c>
      <c r="G470" s="1324">
        <f t="shared" si="85"/>
        <v>0</v>
      </c>
    </row>
    <row r="471" spans="1:7" ht="15" hidden="1" customHeight="1">
      <c r="A471" s="848"/>
      <c r="B471" s="860"/>
      <c r="C471" s="1350" t="s">
        <v>298</v>
      </c>
      <c r="D471" s="1351" t="s">
        <v>708</v>
      </c>
      <c r="E471" s="1373">
        <v>59568</v>
      </c>
      <c r="F471" s="1373">
        <v>0</v>
      </c>
      <c r="G471" s="1328">
        <f t="shared" si="85"/>
        <v>0</v>
      </c>
    </row>
    <row r="472" spans="1:7" ht="17.25" customHeight="1">
      <c r="A472" s="848"/>
      <c r="B472" s="860"/>
      <c r="C472" s="1377"/>
      <c r="D472" s="1378"/>
      <c r="E472" s="1373"/>
      <c r="F472" s="1373"/>
      <c r="G472" s="1328"/>
    </row>
    <row r="473" spans="1:7" ht="17.25" customHeight="1">
      <c r="A473" s="848"/>
      <c r="B473" s="860"/>
      <c r="C473" s="3022" t="s">
        <v>574</v>
      </c>
      <c r="D473" s="3023"/>
      <c r="E473" s="1379">
        <f>E474</f>
        <v>404634</v>
      </c>
      <c r="F473" s="1379">
        <f t="shared" ref="F473" si="95">F474</f>
        <v>516000</v>
      </c>
      <c r="G473" s="1380">
        <f t="shared" si="85"/>
        <v>1.2752265009860764</v>
      </c>
    </row>
    <row r="474" spans="1:7" ht="18.75" customHeight="1">
      <c r="A474" s="848"/>
      <c r="B474" s="860"/>
      <c r="C474" s="2828" t="s">
        <v>694</v>
      </c>
      <c r="D474" s="2828"/>
      <c r="E474" s="1323">
        <f>E475+E476</f>
        <v>404634</v>
      </c>
      <c r="F474" s="1323">
        <f t="shared" ref="F474" si="96">F475+F476</f>
        <v>516000</v>
      </c>
      <c r="G474" s="1324">
        <f t="shared" si="85"/>
        <v>1.2752265009860764</v>
      </c>
    </row>
    <row r="475" spans="1:7" ht="16.5" customHeight="1">
      <c r="A475" s="848"/>
      <c r="B475" s="860"/>
      <c r="C475" s="1350" t="s">
        <v>576</v>
      </c>
      <c r="D475" s="1351" t="s">
        <v>622</v>
      </c>
      <c r="E475" s="1373">
        <v>225168</v>
      </c>
      <c r="F475" s="1373">
        <v>316000</v>
      </c>
      <c r="G475" s="1328">
        <f t="shared" si="85"/>
        <v>1.4033965750017765</v>
      </c>
    </row>
    <row r="476" spans="1:7" ht="40.5" customHeight="1" thickBot="1">
      <c r="A476" s="848"/>
      <c r="B476" s="860"/>
      <c r="C476" s="1344" t="s">
        <v>695</v>
      </c>
      <c r="D476" s="1345" t="s">
        <v>696</v>
      </c>
      <c r="E476" s="1323">
        <f>30000+99466+50000</f>
        <v>179466</v>
      </c>
      <c r="F476" s="1323">
        <v>200000</v>
      </c>
      <c r="G476" s="1324">
        <f t="shared" si="85"/>
        <v>1.1144172155171452</v>
      </c>
    </row>
    <row r="477" spans="1:7" ht="10.5" hidden="1" customHeight="1" thickBot="1">
      <c r="A477" s="848"/>
      <c r="B477" s="1072" t="s">
        <v>709</v>
      </c>
      <c r="C477" s="1073"/>
      <c r="D477" s="1074" t="s">
        <v>254</v>
      </c>
      <c r="E477" s="1075">
        <f>E478</f>
        <v>19040</v>
      </c>
      <c r="F477" s="1075">
        <f t="shared" ref="F477:F479" si="97">F478</f>
        <v>0</v>
      </c>
      <c r="G477" s="1076">
        <f t="shared" si="85"/>
        <v>0</v>
      </c>
    </row>
    <row r="478" spans="1:7" ht="19.5" hidden="1" customHeight="1" thickBot="1">
      <c r="A478" s="848"/>
      <c r="B478" s="860"/>
      <c r="C478" s="3022" t="s">
        <v>574</v>
      </c>
      <c r="D478" s="3023"/>
      <c r="E478" s="962">
        <f>E479</f>
        <v>19040</v>
      </c>
      <c r="F478" s="962">
        <f t="shared" si="97"/>
        <v>0</v>
      </c>
      <c r="G478" s="963">
        <f t="shared" si="85"/>
        <v>0</v>
      </c>
    </row>
    <row r="479" spans="1:7" ht="17.25" hidden="1" customHeight="1" thickBot="1">
      <c r="A479" s="848"/>
      <c r="B479" s="860"/>
      <c r="C479" s="2828" t="s">
        <v>694</v>
      </c>
      <c r="D479" s="2828"/>
      <c r="E479" s="1323">
        <f>E480</f>
        <v>19040</v>
      </c>
      <c r="F479" s="1323">
        <f t="shared" si="97"/>
        <v>0</v>
      </c>
      <c r="G479" s="1324">
        <f t="shared" si="85"/>
        <v>0</v>
      </c>
    </row>
    <row r="480" spans="1:7" ht="39" hidden="1" thickBot="1">
      <c r="A480" s="848"/>
      <c r="B480" s="1255"/>
      <c r="C480" s="1344" t="s">
        <v>695</v>
      </c>
      <c r="D480" s="1345" t="s">
        <v>696</v>
      </c>
      <c r="E480" s="970">
        <v>19040</v>
      </c>
      <c r="F480" s="970">
        <v>0</v>
      </c>
      <c r="G480" s="1381">
        <f t="shared" si="85"/>
        <v>0</v>
      </c>
    </row>
    <row r="481" spans="1:9" ht="17.100000000000001" customHeight="1" thickBot="1">
      <c r="A481" s="842" t="s">
        <v>710</v>
      </c>
      <c r="B481" s="1205"/>
      <c r="C481" s="1206"/>
      <c r="D481" s="1207" t="s">
        <v>711</v>
      </c>
      <c r="E481" s="1208">
        <f>SUM(E482,E517,E550)</f>
        <v>56330920</v>
      </c>
      <c r="F481" s="1208">
        <f t="shared" ref="F481" si="98">SUM(F482,F517,F550)</f>
        <v>35779692</v>
      </c>
      <c r="G481" s="1209">
        <f t="shared" si="85"/>
        <v>0.63516967235756139</v>
      </c>
      <c r="I481" s="1382"/>
    </row>
    <row r="482" spans="1:9" ht="17.100000000000001" customHeight="1" thickBot="1">
      <c r="A482" s="848"/>
      <c r="B482" s="1072" t="s">
        <v>712</v>
      </c>
      <c r="C482" s="1073"/>
      <c r="D482" s="1074" t="s">
        <v>321</v>
      </c>
      <c r="E482" s="1075">
        <f>E483+E514</f>
        <v>4137168</v>
      </c>
      <c r="F482" s="1075">
        <f t="shared" ref="F482" si="99">F483+F514</f>
        <v>4198010</v>
      </c>
      <c r="G482" s="1076">
        <f t="shared" si="85"/>
        <v>1.0147061951557201</v>
      </c>
    </row>
    <row r="483" spans="1:9" ht="17.100000000000001" customHeight="1">
      <c r="A483" s="848"/>
      <c r="B483" s="860"/>
      <c r="C483" s="2802" t="s">
        <v>521</v>
      </c>
      <c r="D483" s="2802"/>
      <c r="E483" s="854">
        <f>E484+E511</f>
        <v>4137168</v>
      </c>
      <c r="F483" s="854">
        <f t="shared" ref="F483" si="100">F484+F511</f>
        <v>4198010</v>
      </c>
      <c r="G483" s="855">
        <f t="shared" si="85"/>
        <v>1.0147061951557201</v>
      </c>
    </row>
    <row r="484" spans="1:9" ht="17.100000000000001" customHeight="1">
      <c r="A484" s="848"/>
      <c r="B484" s="860"/>
      <c r="C484" s="3012" t="s">
        <v>522</v>
      </c>
      <c r="D484" s="3012"/>
      <c r="E484" s="1373">
        <f t="shared" ref="E484:F484" si="101">E485+E492</f>
        <v>4129168</v>
      </c>
      <c r="F484" s="1373">
        <f t="shared" si="101"/>
        <v>4193010</v>
      </c>
      <c r="G484" s="1328">
        <f t="shared" si="85"/>
        <v>1.0154612260871925</v>
      </c>
    </row>
    <row r="485" spans="1:9" ht="17.100000000000001" customHeight="1">
      <c r="A485" s="848"/>
      <c r="B485" s="860"/>
      <c r="C485" s="3017" t="s">
        <v>523</v>
      </c>
      <c r="D485" s="3017"/>
      <c r="E485" s="1375">
        <f t="shared" ref="E485:F485" si="102">SUM(E486:E490)</f>
        <v>3585655</v>
      </c>
      <c r="F485" s="1375">
        <f t="shared" si="102"/>
        <v>3645670</v>
      </c>
      <c r="G485" s="1331">
        <f t="shared" si="85"/>
        <v>1.0167375277320323</v>
      </c>
    </row>
    <row r="486" spans="1:9" ht="17.100000000000001" customHeight="1">
      <c r="A486" s="848"/>
      <c r="B486" s="860"/>
      <c r="C486" s="1350" t="s">
        <v>524</v>
      </c>
      <c r="D486" s="1351" t="s">
        <v>525</v>
      </c>
      <c r="E486" s="1373">
        <v>2787430</v>
      </c>
      <c r="F486" s="1373">
        <v>2863740</v>
      </c>
      <c r="G486" s="1328">
        <f t="shared" ref="G486:G549" si="103">F486/E486</f>
        <v>1.0273764722342804</v>
      </c>
    </row>
    <row r="487" spans="1:9" ht="17.100000000000001" customHeight="1">
      <c r="A487" s="848"/>
      <c r="B487" s="860"/>
      <c r="C487" s="1350" t="s">
        <v>526</v>
      </c>
      <c r="D487" s="1351" t="s">
        <v>527</v>
      </c>
      <c r="E487" s="1373">
        <v>220400</v>
      </c>
      <c r="F487" s="1373">
        <v>222170</v>
      </c>
      <c r="G487" s="1328">
        <f t="shared" si="103"/>
        <v>1.0080308529945554</v>
      </c>
    </row>
    <row r="488" spans="1:9" ht="17.100000000000001" customHeight="1">
      <c r="A488" s="848"/>
      <c r="B488" s="860"/>
      <c r="C488" s="1350" t="s">
        <v>528</v>
      </c>
      <c r="D488" s="1351" t="s">
        <v>529</v>
      </c>
      <c r="E488" s="1373">
        <v>490015</v>
      </c>
      <c r="F488" s="1373">
        <v>495220</v>
      </c>
      <c r="G488" s="1328">
        <f t="shared" si="103"/>
        <v>1.0106221238125364</v>
      </c>
    </row>
    <row r="489" spans="1:9" ht="17.100000000000001" customHeight="1">
      <c r="A489" s="848"/>
      <c r="B489" s="860"/>
      <c r="C489" s="1350" t="s">
        <v>530</v>
      </c>
      <c r="D489" s="1351" t="s">
        <v>531</v>
      </c>
      <c r="E489" s="1373">
        <v>47810</v>
      </c>
      <c r="F489" s="1373">
        <v>44540</v>
      </c>
      <c r="G489" s="1328">
        <f t="shared" si="103"/>
        <v>0.93160426688977205</v>
      </c>
    </row>
    <row r="490" spans="1:9" ht="17.100000000000001" customHeight="1">
      <c r="A490" s="848"/>
      <c r="B490" s="860"/>
      <c r="C490" s="1350" t="s">
        <v>532</v>
      </c>
      <c r="D490" s="1351" t="s">
        <v>533</v>
      </c>
      <c r="E490" s="1373">
        <v>40000</v>
      </c>
      <c r="F490" s="1373">
        <v>20000</v>
      </c>
      <c r="G490" s="1328">
        <f t="shared" si="103"/>
        <v>0.5</v>
      </c>
    </row>
    <row r="491" spans="1:9" ht="17.100000000000001" customHeight="1">
      <c r="A491" s="848"/>
      <c r="B491" s="860"/>
      <c r="C491" s="999"/>
      <c r="D491" s="999"/>
      <c r="E491" s="882"/>
      <c r="F491" s="882"/>
      <c r="G491" s="883"/>
    </row>
    <row r="492" spans="1:9" ht="17.100000000000001" customHeight="1">
      <c r="A492" s="848"/>
      <c r="B492" s="860"/>
      <c r="C492" s="3009" t="s">
        <v>534</v>
      </c>
      <c r="D492" s="3009"/>
      <c r="E492" s="1375">
        <f>SUM(E493:E509)</f>
        <v>543513</v>
      </c>
      <c r="F492" s="1375">
        <f t="shared" ref="F492" si="104">SUM(F493:F509)</f>
        <v>547340</v>
      </c>
      <c r="G492" s="1331">
        <f t="shared" si="103"/>
        <v>1.0070412299245832</v>
      </c>
    </row>
    <row r="493" spans="1:9" ht="17.100000000000001" hidden="1" customHeight="1">
      <c r="A493" s="848"/>
      <c r="B493" s="860"/>
      <c r="C493" s="1383" t="s">
        <v>535</v>
      </c>
      <c r="D493" s="1384" t="s">
        <v>536</v>
      </c>
      <c r="E493" s="1373">
        <v>13700</v>
      </c>
      <c r="F493" s="1373">
        <v>0</v>
      </c>
      <c r="G493" s="1328">
        <f t="shared" si="103"/>
        <v>0</v>
      </c>
    </row>
    <row r="494" spans="1:9" ht="17.100000000000001" customHeight="1">
      <c r="A494" s="848"/>
      <c r="B494" s="860"/>
      <c r="C494" s="1350" t="s">
        <v>537</v>
      </c>
      <c r="D494" s="1351" t="s">
        <v>538</v>
      </c>
      <c r="E494" s="1373">
        <v>66000</v>
      </c>
      <c r="F494" s="1373">
        <v>91190</v>
      </c>
      <c r="G494" s="1328">
        <f t="shared" si="103"/>
        <v>1.3816666666666666</v>
      </c>
    </row>
    <row r="495" spans="1:9" ht="17.100000000000001" customHeight="1">
      <c r="A495" s="848"/>
      <c r="B495" s="860"/>
      <c r="C495" s="1350" t="s">
        <v>539</v>
      </c>
      <c r="D495" s="1351" t="s">
        <v>713</v>
      </c>
      <c r="E495" s="1373">
        <v>2000</v>
      </c>
      <c r="F495" s="1373">
        <v>1500</v>
      </c>
      <c r="G495" s="1328">
        <f t="shared" si="103"/>
        <v>0.75</v>
      </c>
    </row>
    <row r="496" spans="1:9" ht="17.100000000000001" customHeight="1">
      <c r="A496" s="848"/>
      <c r="B496" s="860"/>
      <c r="C496" s="1350" t="s">
        <v>714</v>
      </c>
      <c r="D496" s="1351" t="s">
        <v>715</v>
      </c>
      <c r="E496" s="1373">
        <v>1000</v>
      </c>
      <c r="F496" s="1373">
        <v>1500</v>
      </c>
      <c r="G496" s="1328">
        <f t="shared" si="103"/>
        <v>1.5</v>
      </c>
    </row>
    <row r="497" spans="1:7" ht="17.100000000000001" customHeight="1">
      <c r="A497" s="848"/>
      <c r="B497" s="860"/>
      <c r="C497" s="1350" t="s">
        <v>541</v>
      </c>
      <c r="D497" s="1351" t="s">
        <v>542</v>
      </c>
      <c r="E497" s="1373">
        <v>105000</v>
      </c>
      <c r="F497" s="1373">
        <v>110000</v>
      </c>
      <c r="G497" s="1328">
        <f t="shared" si="103"/>
        <v>1.0476190476190477</v>
      </c>
    </row>
    <row r="498" spans="1:7" ht="17.100000000000001" customHeight="1">
      <c r="A498" s="848"/>
      <c r="B498" s="860"/>
      <c r="C498" s="1350" t="s">
        <v>543</v>
      </c>
      <c r="D498" s="1351" t="s">
        <v>544</v>
      </c>
      <c r="E498" s="1373">
        <v>15000</v>
      </c>
      <c r="F498" s="1373">
        <v>26020</v>
      </c>
      <c r="G498" s="1328">
        <f t="shared" si="103"/>
        <v>1.7346666666666666</v>
      </c>
    </row>
    <row r="499" spans="1:7" ht="17.100000000000001" customHeight="1">
      <c r="A499" s="848"/>
      <c r="B499" s="860"/>
      <c r="C499" s="1350" t="s">
        <v>545</v>
      </c>
      <c r="D499" s="1351" t="s">
        <v>546</v>
      </c>
      <c r="E499" s="1373">
        <v>3400</v>
      </c>
      <c r="F499" s="1373">
        <v>3740</v>
      </c>
      <c r="G499" s="1328">
        <f t="shared" si="103"/>
        <v>1.1000000000000001</v>
      </c>
    </row>
    <row r="500" spans="1:7" ht="17.100000000000001" customHeight="1">
      <c r="A500" s="848"/>
      <c r="B500" s="860"/>
      <c r="C500" s="1350" t="s">
        <v>547</v>
      </c>
      <c r="D500" s="1351" t="s">
        <v>548</v>
      </c>
      <c r="E500" s="1373">
        <v>128358</v>
      </c>
      <c r="F500" s="1373">
        <v>135400</v>
      </c>
      <c r="G500" s="1328">
        <f t="shared" si="103"/>
        <v>1.0548621823337851</v>
      </c>
    </row>
    <row r="501" spans="1:7" ht="16.5" customHeight="1">
      <c r="A501" s="848"/>
      <c r="B501" s="860"/>
      <c r="C501" s="1350" t="s">
        <v>549</v>
      </c>
      <c r="D501" s="1351" t="s">
        <v>550</v>
      </c>
      <c r="E501" s="1373">
        <v>10120</v>
      </c>
      <c r="F501" s="1373">
        <v>11700</v>
      </c>
      <c r="G501" s="1328">
        <f t="shared" si="103"/>
        <v>1.1561264822134387</v>
      </c>
    </row>
    <row r="502" spans="1:7" ht="25.5" customHeight="1">
      <c r="A502" s="848"/>
      <c r="B502" s="860"/>
      <c r="C502" s="1350" t="s">
        <v>553</v>
      </c>
      <c r="D502" s="1351" t="s">
        <v>554</v>
      </c>
      <c r="E502" s="1373">
        <v>80410</v>
      </c>
      <c r="F502" s="1373">
        <v>45900</v>
      </c>
      <c r="G502" s="1328">
        <f t="shared" si="103"/>
        <v>0.57082452431289643</v>
      </c>
    </row>
    <row r="503" spans="1:7" ht="17.100000000000001" customHeight="1">
      <c r="A503" s="848"/>
      <c r="B503" s="860"/>
      <c r="C503" s="1350" t="s">
        <v>555</v>
      </c>
      <c r="D503" s="1351" t="s">
        <v>556</v>
      </c>
      <c r="E503" s="1373">
        <v>7000</v>
      </c>
      <c r="F503" s="1373">
        <v>7000</v>
      </c>
      <c r="G503" s="1328">
        <f t="shared" si="103"/>
        <v>1</v>
      </c>
    </row>
    <row r="504" spans="1:7" ht="17.100000000000001" hidden="1" customHeight="1">
      <c r="A504" s="848"/>
      <c r="B504" s="860"/>
      <c r="C504" s="1350" t="s">
        <v>683</v>
      </c>
      <c r="D504" s="1351" t="s">
        <v>684</v>
      </c>
      <c r="E504" s="1373"/>
      <c r="F504" s="1373"/>
      <c r="G504" s="1328" t="e">
        <f t="shared" si="103"/>
        <v>#DIV/0!</v>
      </c>
    </row>
    <row r="505" spans="1:7" ht="17.100000000000001" customHeight="1">
      <c r="A505" s="848"/>
      <c r="B505" s="860"/>
      <c r="C505" s="1350" t="s">
        <v>557</v>
      </c>
      <c r="D505" s="1351" t="s">
        <v>558</v>
      </c>
      <c r="E505" s="1373">
        <v>4510</v>
      </c>
      <c r="F505" s="1373">
        <v>5520</v>
      </c>
      <c r="G505" s="1328">
        <f t="shared" si="103"/>
        <v>1.2239467849223946</v>
      </c>
    </row>
    <row r="506" spans="1:7" ht="17.100000000000001" customHeight="1">
      <c r="A506" s="848"/>
      <c r="B506" s="860"/>
      <c r="C506" s="1350" t="s">
        <v>559</v>
      </c>
      <c r="D506" s="1351" t="s">
        <v>560</v>
      </c>
      <c r="E506" s="1373">
        <v>77975</v>
      </c>
      <c r="F506" s="1373">
        <v>76430</v>
      </c>
      <c r="G506" s="1328">
        <f t="shared" si="103"/>
        <v>0.98018595703751199</v>
      </c>
    </row>
    <row r="507" spans="1:7" ht="17.100000000000001" customHeight="1">
      <c r="A507" s="848"/>
      <c r="B507" s="860"/>
      <c r="C507" s="1350" t="s">
        <v>561</v>
      </c>
      <c r="D507" s="1351" t="s">
        <v>562</v>
      </c>
      <c r="E507" s="1373">
        <v>7000</v>
      </c>
      <c r="F507" s="1373">
        <v>8200</v>
      </c>
      <c r="G507" s="1328">
        <f t="shared" si="103"/>
        <v>1.1714285714285715</v>
      </c>
    </row>
    <row r="508" spans="1:7" ht="17.100000000000001" customHeight="1">
      <c r="A508" s="848"/>
      <c r="B508" s="860"/>
      <c r="C508" s="1350" t="s">
        <v>565</v>
      </c>
      <c r="D508" s="1351" t="s">
        <v>566</v>
      </c>
      <c r="E508" s="1373">
        <v>11040</v>
      </c>
      <c r="F508" s="1373">
        <v>12240</v>
      </c>
      <c r="G508" s="1328">
        <f t="shared" si="103"/>
        <v>1.1086956521739131</v>
      </c>
    </row>
    <row r="509" spans="1:7" ht="17.100000000000001" customHeight="1">
      <c r="A509" s="848"/>
      <c r="B509" s="860"/>
      <c r="C509" s="1350" t="s">
        <v>569</v>
      </c>
      <c r="D509" s="1351" t="s">
        <v>570</v>
      </c>
      <c r="E509" s="1373">
        <v>11000</v>
      </c>
      <c r="F509" s="1373">
        <v>11000</v>
      </c>
      <c r="G509" s="1328">
        <f t="shared" si="103"/>
        <v>1</v>
      </c>
    </row>
    <row r="510" spans="1:7" ht="17.100000000000001" customHeight="1">
      <c r="A510" s="848"/>
      <c r="B510" s="860"/>
      <c r="C510" s="999"/>
      <c r="D510" s="999"/>
      <c r="E510" s="882"/>
      <c r="F510" s="882"/>
      <c r="G510" s="883"/>
    </row>
    <row r="511" spans="1:7" ht="17.100000000000001" customHeight="1">
      <c r="A511" s="848"/>
      <c r="B511" s="860"/>
      <c r="C511" s="3016" t="s">
        <v>571</v>
      </c>
      <c r="D511" s="3016"/>
      <c r="E511" s="1373">
        <f t="shared" ref="E511:F511" si="105">E512</f>
        <v>8000</v>
      </c>
      <c r="F511" s="1373">
        <f t="shared" si="105"/>
        <v>5000</v>
      </c>
      <c r="G511" s="1328">
        <f t="shared" si="103"/>
        <v>0.625</v>
      </c>
    </row>
    <row r="512" spans="1:7" ht="17.100000000000001" customHeight="1" thickBot="1">
      <c r="A512" s="848"/>
      <c r="B512" s="860"/>
      <c r="C512" s="1344" t="s">
        <v>572</v>
      </c>
      <c r="D512" s="1345" t="s">
        <v>573</v>
      </c>
      <c r="E512" s="1323">
        <v>8000</v>
      </c>
      <c r="F512" s="1323">
        <v>5000</v>
      </c>
      <c r="G512" s="1324">
        <f t="shared" si="103"/>
        <v>0.625</v>
      </c>
    </row>
    <row r="513" spans="1:7" ht="17.100000000000001" hidden="1" customHeight="1" thickBot="1">
      <c r="A513" s="848"/>
      <c r="B513" s="860"/>
      <c r="C513" s="3018"/>
      <c r="D513" s="3019"/>
      <c r="E513" s="1385"/>
      <c r="F513" s="1385"/>
      <c r="G513" s="1386"/>
    </row>
    <row r="514" spans="1:7" ht="17.100000000000001" hidden="1" customHeight="1">
      <c r="A514" s="848"/>
      <c r="B514" s="860"/>
      <c r="C514" s="3020" t="s">
        <v>574</v>
      </c>
      <c r="D514" s="3021"/>
      <c r="E514" s="1387">
        <f>E515</f>
        <v>0</v>
      </c>
      <c r="F514" s="1387">
        <f t="shared" ref="F514" si="106">F515</f>
        <v>0</v>
      </c>
      <c r="G514" s="1388"/>
    </row>
    <row r="515" spans="1:7" ht="17.100000000000001" hidden="1" customHeight="1">
      <c r="A515" s="848"/>
      <c r="B515" s="860"/>
      <c r="C515" s="3015" t="s">
        <v>689</v>
      </c>
      <c r="D515" s="3016"/>
      <c r="E515" s="1323">
        <f>SUM(E516:E516)</f>
        <v>0</v>
      </c>
      <c r="F515" s="1323">
        <f t="shared" ref="F515" si="107">SUM(F516:F516)</f>
        <v>0</v>
      </c>
      <c r="G515" s="1324"/>
    </row>
    <row r="516" spans="1:7" ht="17.100000000000001" hidden="1" customHeight="1" thickBot="1">
      <c r="A516" s="848"/>
      <c r="B516" s="860"/>
      <c r="C516" s="1389" t="s">
        <v>576</v>
      </c>
      <c r="D516" s="1351" t="s">
        <v>622</v>
      </c>
      <c r="E516" s="1323">
        <v>0</v>
      </c>
      <c r="F516" s="1323">
        <v>0</v>
      </c>
      <c r="G516" s="1324"/>
    </row>
    <row r="517" spans="1:7" ht="17.100000000000001" customHeight="1" thickBot="1">
      <c r="A517" s="848"/>
      <c r="B517" s="1072" t="s">
        <v>716</v>
      </c>
      <c r="C517" s="1073"/>
      <c r="D517" s="1074" t="s">
        <v>324</v>
      </c>
      <c r="E517" s="1075">
        <f t="shared" ref="E517:F517" si="108">E518</f>
        <v>52193752</v>
      </c>
      <c r="F517" s="1075">
        <f t="shared" si="108"/>
        <v>31581682</v>
      </c>
      <c r="G517" s="1076">
        <f t="shared" si="103"/>
        <v>0.60508548992607392</v>
      </c>
    </row>
    <row r="518" spans="1:7" ht="17.100000000000001" customHeight="1">
      <c r="A518" s="848"/>
      <c r="B518" s="860"/>
      <c r="C518" s="2802" t="s">
        <v>521</v>
      </c>
      <c r="D518" s="2802"/>
      <c r="E518" s="854">
        <f>E519+E541+E544</f>
        <v>52193752</v>
      </c>
      <c r="F518" s="854">
        <f t="shared" ref="F518" si="109">F519+F541+F544</f>
        <v>31581682</v>
      </c>
      <c r="G518" s="855">
        <f t="shared" si="103"/>
        <v>0.60508548992607392</v>
      </c>
    </row>
    <row r="519" spans="1:7" ht="17.100000000000001" customHeight="1">
      <c r="A519" s="848"/>
      <c r="B519" s="860"/>
      <c r="C519" s="3012" t="s">
        <v>522</v>
      </c>
      <c r="D519" s="3012"/>
      <c r="E519" s="1373">
        <f>E520+E527</f>
        <v>920121</v>
      </c>
      <c r="F519" s="1373">
        <f t="shared" ref="F519" si="110">F520+F527</f>
        <v>1073174</v>
      </c>
      <c r="G519" s="1328">
        <f t="shared" si="103"/>
        <v>1.1663400791852376</v>
      </c>
    </row>
    <row r="520" spans="1:7" ht="17.100000000000001" customHeight="1">
      <c r="A520" s="848"/>
      <c r="B520" s="860"/>
      <c r="C520" s="3017" t="s">
        <v>523</v>
      </c>
      <c r="D520" s="3017"/>
      <c r="E520" s="1375">
        <f>SUM(E521:E525)</f>
        <v>648462</v>
      </c>
      <c r="F520" s="1375">
        <f t="shared" ref="F520" si="111">SUM(F521:F525)</f>
        <v>713768</v>
      </c>
      <c r="G520" s="1331">
        <f t="shared" si="103"/>
        <v>1.1007090623660292</v>
      </c>
    </row>
    <row r="521" spans="1:7" ht="17.100000000000001" customHeight="1">
      <c r="A521" s="848"/>
      <c r="B521" s="860"/>
      <c r="C521" s="1350" t="s">
        <v>524</v>
      </c>
      <c r="D521" s="1351" t="s">
        <v>525</v>
      </c>
      <c r="E521" s="1373">
        <v>492761</v>
      </c>
      <c r="F521" s="1373">
        <v>545093</v>
      </c>
      <c r="G521" s="1328">
        <f t="shared" si="103"/>
        <v>1.1062015865703658</v>
      </c>
    </row>
    <row r="522" spans="1:7" ht="17.100000000000001" customHeight="1">
      <c r="A522" s="848"/>
      <c r="B522" s="860"/>
      <c r="C522" s="1350" t="s">
        <v>526</v>
      </c>
      <c r="D522" s="1351" t="s">
        <v>527</v>
      </c>
      <c r="E522" s="1373">
        <v>33214</v>
      </c>
      <c r="F522" s="1373">
        <v>33696</v>
      </c>
      <c r="G522" s="1328">
        <f t="shared" si="103"/>
        <v>1.0145119527909918</v>
      </c>
    </row>
    <row r="523" spans="1:7" ht="17.100000000000001" customHeight="1">
      <c r="A523" s="848"/>
      <c r="B523" s="860"/>
      <c r="C523" s="1350" t="s">
        <v>528</v>
      </c>
      <c r="D523" s="1351" t="s">
        <v>529</v>
      </c>
      <c r="E523" s="1373">
        <v>92712</v>
      </c>
      <c r="F523" s="1373">
        <v>103228</v>
      </c>
      <c r="G523" s="1328">
        <f t="shared" si="103"/>
        <v>1.1134265251531625</v>
      </c>
    </row>
    <row r="524" spans="1:7" ht="17.100000000000001" customHeight="1">
      <c r="A524" s="848"/>
      <c r="B524" s="860"/>
      <c r="C524" s="1350" t="s">
        <v>530</v>
      </c>
      <c r="D524" s="1351" t="s">
        <v>531</v>
      </c>
      <c r="E524" s="1373">
        <v>11775</v>
      </c>
      <c r="F524" s="1373">
        <v>13351</v>
      </c>
      <c r="G524" s="1328">
        <f t="shared" si="103"/>
        <v>1.1338428874734607</v>
      </c>
    </row>
    <row r="525" spans="1:7" ht="17.100000000000001" customHeight="1">
      <c r="A525" s="848"/>
      <c r="B525" s="860"/>
      <c r="C525" s="1350" t="s">
        <v>532</v>
      </c>
      <c r="D525" s="1351" t="s">
        <v>533</v>
      </c>
      <c r="E525" s="1373">
        <v>18000</v>
      </c>
      <c r="F525" s="1373">
        <v>18400</v>
      </c>
      <c r="G525" s="1328">
        <f t="shared" si="103"/>
        <v>1.0222222222222221</v>
      </c>
    </row>
    <row r="526" spans="1:7" ht="17.100000000000001" customHeight="1">
      <c r="A526" s="848"/>
      <c r="B526" s="860"/>
      <c r="C526" s="999"/>
      <c r="D526" s="999"/>
      <c r="E526" s="882"/>
      <c r="F526" s="882"/>
      <c r="G526" s="883"/>
    </row>
    <row r="527" spans="1:7" ht="17.100000000000001" customHeight="1">
      <c r="A527" s="848"/>
      <c r="B527" s="860"/>
      <c r="C527" s="3009" t="s">
        <v>534</v>
      </c>
      <c r="D527" s="3009"/>
      <c r="E527" s="1375">
        <f>SUM(E528:E539)</f>
        <v>271659</v>
      </c>
      <c r="F527" s="1375">
        <f>SUM(F528:F539)</f>
        <v>359406</v>
      </c>
      <c r="G527" s="1331">
        <f t="shared" si="103"/>
        <v>1.3230042074807018</v>
      </c>
    </row>
    <row r="528" spans="1:7" ht="17.100000000000001" customHeight="1">
      <c r="A528" s="848"/>
      <c r="B528" s="860"/>
      <c r="C528" s="1350" t="s">
        <v>537</v>
      </c>
      <c r="D528" s="1351" t="s">
        <v>538</v>
      </c>
      <c r="E528" s="1373">
        <v>26720</v>
      </c>
      <c r="F528" s="1373">
        <v>85340</v>
      </c>
      <c r="G528" s="1328">
        <f t="shared" si="103"/>
        <v>3.193862275449102</v>
      </c>
    </row>
    <row r="529" spans="1:7" ht="17.100000000000001" customHeight="1">
      <c r="A529" s="848"/>
      <c r="B529" s="860"/>
      <c r="C529" s="1350" t="s">
        <v>539</v>
      </c>
      <c r="D529" s="1351" t="s">
        <v>540</v>
      </c>
      <c r="E529" s="1373">
        <v>500</v>
      </c>
      <c r="F529" s="1373">
        <v>500</v>
      </c>
      <c r="G529" s="1328">
        <f t="shared" si="103"/>
        <v>1</v>
      </c>
    </row>
    <row r="530" spans="1:7" ht="17.100000000000001" customHeight="1">
      <c r="A530" s="848"/>
      <c r="B530" s="860"/>
      <c r="C530" s="1350" t="s">
        <v>541</v>
      </c>
      <c r="D530" s="1351" t="s">
        <v>542</v>
      </c>
      <c r="E530" s="1373">
        <v>24900</v>
      </c>
      <c r="F530" s="1373">
        <v>25400</v>
      </c>
      <c r="G530" s="1328">
        <f t="shared" si="103"/>
        <v>1.0200803212851406</v>
      </c>
    </row>
    <row r="531" spans="1:7" ht="17.100000000000001" customHeight="1">
      <c r="A531" s="848"/>
      <c r="B531" s="860"/>
      <c r="C531" s="1350" t="s">
        <v>543</v>
      </c>
      <c r="D531" s="1351" t="s">
        <v>544</v>
      </c>
      <c r="E531" s="1373">
        <v>5000</v>
      </c>
      <c r="F531" s="1373">
        <v>5060</v>
      </c>
      <c r="G531" s="1328">
        <f t="shared" si="103"/>
        <v>1.012</v>
      </c>
    </row>
    <row r="532" spans="1:7" ht="17.100000000000001" customHeight="1">
      <c r="A532" s="848"/>
      <c r="B532" s="860"/>
      <c r="C532" s="1350" t="s">
        <v>545</v>
      </c>
      <c r="D532" s="1351" t="s">
        <v>546</v>
      </c>
      <c r="E532" s="1373">
        <v>700</v>
      </c>
      <c r="F532" s="1373">
        <v>1100</v>
      </c>
      <c r="G532" s="1328">
        <f t="shared" si="103"/>
        <v>1.5714285714285714</v>
      </c>
    </row>
    <row r="533" spans="1:7" ht="17.100000000000001" customHeight="1">
      <c r="A533" s="848"/>
      <c r="B533" s="860"/>
      <c r="C533" s="1350" t="s">
        <v>547</v>
      </c>
      <c r="D533" s="1351" t="s">
        <v>548</v>
      </c>
      <c r="E533" s="1373">
        <v>158039</v>
      </c>
      <c r="F533" s="1373">
        <v>184360</v>
      </c>
      <c r="G533" s="1328">
        <f t="shared" si="103"/>
        <v>1.1665474977695378</v>
      </c>
    </row>
    <row r="534" spans="1:7" ht="16.5" customHeight="1">
      <c r="A534" s="848"/>
      <c r="B534" s="860"/>
      <c r="C534" s="1350" t="s">
        <v>549</v>
      </c>
      <c r="D534" s="1351" t="s">
        <v>717</v>
      </c>
      <c r="E534" s="1373">
        <v>7000</v>
      </c>
      <c r="F534" s="1373">
        <v>7120</v>
      </c>
      <c r="G534" s="1328">
        <f t="shared" si="103"/>
        <v>1.0171428571428571</v>
      </c>
    </row>
    <row r="535" spans="1:7" ht="26.25" customHeight="1">
      <c r="A535" s="848"/>
      <c r="B535" s="860"/>
      <c r="C535" s="1350" t="s">
        <v>553</v>
      </c>
      <c r="D535" s="1351" t="s">
        <v>554</v>
      </c>
      <c r="E535" s="1373">
        <v>29500</v>
      </c>
      <c r="F535" s="1373">
        <v>30040</v>
      </c>
      <c r="G535" s="1328">
        <f t="shared" si="103"/>
        <v>1.0183050847457626</v>
      </c>
    </row>
    <row r="536" spans="1:7" ht="17.100000000000001" customHeight="1">
      <c r="A536" s="848"/>
      <c r="B536" s="860"/>
      <c r="C536" s="1350" t="s">
        <v>555</v>
      </c>
      <c r="D536" s="1351" t="s">
        <v>556</v>
      </c>
      <c r="E536" s="1373">
        <v>3500</v>
      </c>
      <c r="F536" s="1373">
        <v>3500</v>
      </c>
      <c r="G536" s="1328">
        <f t="shared" si="103"/>
        <v>1</v>
      </c>
    </row>
    <row r="537" spans="1:7" ht="17.100000000000001" customHeight="1">
      <c r="A537" s="848"/>
      <c r="B537" s="860"/>
      <c r="C537" s="1350" t="s">
        <v>557</v>
      </c>
      <c r="D537" s="1351" t="s">
        <v>558</v>
      </c>
      <c r="E537" s="1373">
        <v>1500</v>
      </c>
      <c r="F537" s="1373">
        <v>1500</v>
      </c>
      <c r="G537" s="1328">
        <f t="shared" si="103"/>
        <v>1</v>
      </c>
    </row>
    <row r="538" spans="1:7" ht="17.100000000000001" customHeight="1">
      <c r="A538" s="848"/>
      <c r="B538" s="860"/>
      <c r="C538" s="1350" t="s">
        <v>559</v>
      </c>
      <c r="D538" s="1351" t="s">
        <v>560</v>
      </c>
      <c r="E538" s="1373">
        <v>8300</v>
      </c>
      <c r="F538" s="1373">
        <v>9486</v>
      </c>
      <c r="G538" s="1328">
        <f t="shared" si="103"/>
        <v>1.1428915662650603</v>
      </c>
    </row>
    <row r="539" spans="1:7" ht="17.100000000000001" customHeight="1">
      <c r="A539" s="848"/>
      <c r="B539" s="860"/>
      <c r="C539" s="1350" t="s">
        <v>569</v>
      </c>
      <c r="D539" s="1351" t="s">
        <v>570</v>
      </c>
      <c r="E539" s="1373">
        <v>6000</v>
      </c>
      <c r="F539" s="1373">
        <v>6000</v>
      </c>
      <c r="G539" s="1328">
        <f t="shared" si="103"/>
        <v>1</v>
      </c>
    </row>
    <row r="540" spans="1:7" ht="17.100000000000001" customHeight="1">
      <c r="A540" s="848"/>
      <c r="B540" s="860"/>
      <c r="C540" s="999"/>
      <c r="D540" s="999"/>
      <c r="E540" s="882"/>
      <c r="F540" s="882"/>
      <c r="G540" s="883"/>
    </row>
    <row r="541" spans="1:7" ht="17.100000000000001" customHeight="1">
      <c r="A541" s="848"/>
      <c r="B541" s="860"/>
      <c r="C541" s="3011" t="s">
        <v>571</v>
      </c>
      <c r="D541" s="3011"/>
      <c r="E541" s="1323">
        <f>E542</f>
        <v>1130</v>
      </c>
      <c r="F541" s="1323">
        <f t="shared" ref="F541" si="112">F542</f>
        <v>1540</v>
      </c>
      <c r="G541" s="1324">
        <f t="shared" si="103"/>
        <v>1.3628318584070795</v>
      </c>
    </row>
    <row r="542" spans="1:7" ht="17.100000000000001" customHeight="1">
      <c r="A542" s="848"/>
      <c r="B542" s="860"/>
      <c r="C542" s="1390" t="s">
        <v>572</v>
      </c>
      <c r="D542" s="1391" t="s">
        <v>573</v>
      </c>
      <c r="E542" s="1311">
        <v>1130</v>
      </c>
      <c r="F542" s="1311">
        <v>1540</v>
      </c>
      <c r="G542" s="1328">
        <f t="shared" si="103"/>
        <v>1.3628318584070795</v>
      </c>
    </row>
    <row r="543" spans="1:7" ht="12.75" customHeight="1">
      <c r="A543" s="848"/>
      <c r="B543" s="860"/>
      <c r="C543" s="1366"/>
      <c r="D543" s="1376"/>
      <c r="E543" s="962"/>
      <c r="F543" s="962"/>
      <c r="G543" s="963"/>
    </row>
    <row r="544" spans="1:7" ht="17.25" customHeight="1">
      <c r="A544" s="848"/>
      <c r="B544" s="860"/>
      <c r="C544" s="3012" t="s">
        <v>587</v>
      </c>
      <c r="D544" s="3012"/>
      <c r="E544" s="1392">
        <f>SUM(E545:E549)</f>
        <v>51272501</v>
      </c>
      <c r="F544" s="1392">
        <f t="shared" ref="F544" si="113">SUM(F545:F549)</f>
        <v>30506968</v>
      </c>
      <c r="G544" s="1393">
        <f t="shared" si="103"/>
        <v>0.59499668252968585</v>
      </c>
    </row>
    <row r="545" spans="1:7" ht="51" customHeight="1">
      <c r="A545" s="848"/>
      <c r="B545" s="860"/>
      <c r="C545" s="1350" t="s">
        <v>418</v>
      </c>
      <c r="D545" s="1210" t="s">
        <v>590</v>
      </c>
      <c r="E545" s="1392">
        <v>49036519</v>
      </c>
      <c r="F545" s="1392">
        <v>28997249</v>
      </c>
      <c r="G545" s="1393">
        <f t="shared" si="103"/>
        <v>0.59133987467585125</v>
      </c>
    </row>
    <row r="546" spans="1:7" ht="42" hidden="1" customHeight="1">
      <c r="A546" s="848"/>
      <c r="B546" s="860"/>
      <c r="C546" s="1344" t="s">
        <v>331</v>
      </c>
      <c r="D546" s="1394" t="s">
        <v>644</v>
      </c>
      <c r="E546" s="1395">
        <v>100000</v>
      </c>
      <c r="F546" s="1395">
        <v>0</v>
      </c>
      <c r="G546" s="1396">
        <f t="shared" si="103"/>
        <v>0</v>
      </c>
    </row>
    <row r="547" spans="1:7" ht="16.5" customHeight="1">
      <c r="A547" s="848"/>
      <c r="B547" s="860"/>
      <c r="C547" s="1397" t="s">
        <v>652</v>
      </c>
      <c r="D547" s="1398" t="s">
        <v>548</v>
      </c>
      <c r="E547" s="1190">
        <v>1424164</v>
      </c>
      <c r="F547" s="1190">
        <v>678691</v>
      </c>
      <c r="G547" s="1191">
        <f t="shared" si="103"/>
        <v>0.47655396429062946</v>
      </c>
    </row>
    <row r="548" spans="1:7" ht="15" customHeight="1" thickBot="1">
      <c r="A548" s="848"/>
      <c r="B548" s="860"/>
      <c r="C548" s="1036" t="s">
        <v>609</v>
      </c>
      <c r="D548" s="1399" t="s">
        <v>548</v>
      </c>
      <c r="E548" s="962">
        <v>706818</v>
      </c>
      <c r="F548" s="962">
        <v>831028</v>
      </c>
      <c r="G548" s="963">
        <f t="shared" si="103"/>
        <v>1.175731234914787</v>
      </c>
    </row>
    <row r="549" spans="1:7" ht="42" hidden="1" customHeight="1" thickBot="1">
      <c r="A549" s="848"/>
      <c r="B549" s="860"/>
      <c r="C549" s="1400" t="s">
        <v>640</v>
      </c>
      <c r="D549" s="1401" t="s">
        <v>641</v>
      </c>
      <c r="E549" s="970">
        <v>5000</v>
      </c>
      <c r="F549" s="970">
        <v>0</v>
      </c>
      <c r="G549" s="1402">
        <f t="shared" si="103"/>
        <v>0</v>
      </c>
    </row>
    <row r="550" spans="1:7" ht="17.100000000000001" hidden="1" customHeight="1" thickBot="1">
      <c r="A550" s="848"/>
      <c r="B550" s="1072" t="s">
        <v>718</v>
      </c>
      <c r="C550" s="1403"/>
      <c r="D550" s="1074" t="s">
        <v>254</v>
      </c>
      <c r="E550" s="1075">
        <f>E551</f>
        <v>0</v>
      </c>
      <c r="F550" s="1075">
        <f t="shared" ref="F550" si="114">F551</f>
        <v>0</v>
      </c>
      <c r="G550" s="1076"/>
    </row>
    <row r="551" spans="1:7" ht="17.100000000000001" hidden="1" customHeight="1">
      <c r="A551" s="848"/>
      <c r="B551" s="2806"/>
      <c r="C551" s="2802" t="s">
        <v>521</v>
      </c>
      <c r="D551" s="2802"/>
      <c r="E551" s="854">
        <f t="shared" ref="E551:F553" si="115">E552</f>
        <v>0</v>
      </c>
      <c r="F551" s="854">
        <f t="shared" si="115"/>
        <v>0</v>
      </c>
      <c r="G551" s="855"/>
    </row>
    <row r="552" spans="1:7" ht="17.100000000000001" hidden="1" customHeight="1">
      <c r="A552" s="848"/>
      <c r="B552" s="2806"/>
      <c r="C552" s="3013" t="s">
        <v>522</v>
      </c>
      <c r="D552" s="3013"/>
      <c r="E552" s="1404">
        <f t="shared" si="115"/>
        <v>0</v>
      </c>
      <c r="F552" s="1404">
        <f t="shared" si="115"/>
        <v>0</v>
      </c>
      <c r="G552" s="1405"/>
    </row>
    <row r="553" spans="1:7" ht="17.100000000000001" hidden="1" customHeight="1">
      <c r="A553" s="848"/>
      <c r="B553" s="2806"/>
      <c r="C553" s="3014" t="s">
        <v>534</v>
      </c>
      <c r="D553" s="3014"/>
      <c r="E553" s="1406">
        <f>E554</f>
        <v>0</v>
      </c>
      <c r="F553" s="1406">
        <f t="shared" si="115"/>
        <v>0</v>
      </c>
      <c r="G553" s="1407"/>
    </row>
    <row r="554" spans="1:7" ht="17.100000000000001" hidden="1" customHeight="1" thickBot="1">
      <c r="A554" s="848"/>
      <c r="B554" s="2806"/>
      <c r="C554" s="1408" t="s">
        <v>543</v>
      </c>
      <c r="D554" s="1409" t="s">
        <v>544</v>
      </c>
      <c r="E554" s="1404">
        <v>0</v>
      </c>
      <c r="F554" s="1404">
        <v>0</v>
      </c>
      <c r="G554" s="1405"/>
    </row>
    <row r="555" spans="1:7" ht="17.100000000000001" customHeight="1" thickBot="1">
      <c r="A555" s="842" t="s">
        <v>719</v>
      </c>
      <c r="B555" s="843"/>
      <c r="C555" s="844"/>
      <c r="D555" s="845" t="s">
        <v>720</v>
      </c>
      <c r="E555" s="846">
        <f t="shared" ref="E555:F555" si="116">E556</f>
        <v>29848345</v>
      </c>
      <c r="F555" s="846">
        <f t="shared" si="116"/>
        <v>16203697</v>
      </c>
      <c r="G555" s="847">
        <f t="shared" ref="G555:G618" si="117">F555/E555</f>
        <v>0.54286751912040687</v>
      </c>
    </row>
    <row r="556" spans="1:7" ht="17.100000000000001" customHeight="1" thickBot="1">
      <c r="A556" s="848"/>
      <c r="B556" s="1072" t="s">
        <v>721</v>
      </c>
      <c r="C556" s="1073"/>
      <c r="D556" s="1074" t="s">
        <v>254</v>
      </c>
      <c r="E556" s="1075">
        <f>E557+E571</f>
        <v>29848345</v>
      </c>
      <c r="F556" s="1075">
        <f t="shared" ref="F556" si="118">F557+F571</f>
        <v>16203697</v>
      </c>
      <c r="G556" s="1076">
        <f t="shared" si="117"/>
        <v>0.54286751912040687</v>
      </c>
    </row>
    <row r="557" spans="1:7" ht="17.100000000000001" customHeight="1">
      <c r="A557" s="848"/>
      <c r="B557" s="2806"/>
      <c r="C557" s="2802" t="s">
        <v>521</v>
      </c>
      <c r="D557" s="2802"/>
      <c r="E557" s="854">
        <f t="shared" ref="E557:F558" si="119">E558</f>
        <v>6113162</v>
      </c>
      <c r="F557" s="854">
        <f t="shared" si="119"/>
        <v>6490962</v>
      </c>
      <c r="G557" s="855">
        <f t="shared" si="117"/>
        <v>1.0618010777401286</v>
      </c>
    </row>
    <row r="558" spans="1:7" ht="17.100000000000001" customHeight="1">
      <c r="A558" s="848"/>
      <c r="B558" s="2806"/>
      <c r="C558" s="3013" t="s">
        <v>522</v>
      </c>
      <c r="D558" s="3013"/>
      <c r="E558" s="1404">
        <f>E559</f>
        <v>6113162</v>
      </c>
      <c r="F558" s="1404">
        <f t="shared" si="119"/>
        <v>6490962</v>
      </c>
      <c r="G558" s="1405">
        <f t="shared" si="117"/>
        <v>1.0618010777401286</v>
      </c>
    </row>
    <row r="559" spans="1:7" ht="17.100000000000001" customHeight="1">
      <c r="A559" s="848"/>
      <c r="B559" s="2806"/>
      <c r="C559" s="3014" t="s">
        <v>534</v>
      </c>
      <c r="D559" s="3014"/>
      <c r="E559" s="1406">
        <f>SUM(E560:E569)</f>
        <v>6113162</v>
      </c>
      <c r="F559" s="1406">
        <f t="shared" ref="F559" si="120">SUM(F560:F569)</f>
        <v>6490962</v>
      </c>
      <c r="G559" s="1407">
        <f t="shared" si="117"/>
        <v>1.0618010777401286</v>
      </c>
    </row>
    <row r="560" spans="1:7" ht="17.100000000000001" customHeight="1">
      <c r="A560" s="848"/>
      <c r="B560" s="2806"/>
      <c r="C560" s="1408" t="s">
        <v>537</v>
      </c>
      <c r="D560" s="1409" t="s">
        <v>538</v>
      </c>
      <c r="E560" s="1404">
        <v>100000</v>
      </c>
      <c r="F560" s="1404">
        <v>190000</v>
      </c>
      <c r="G560" s="1405">
        <f t="shared" si="117"/>
        <v>1.9</v>
      </c>
    </row>
    <row r="561" spans="1:7" ht="17.100000000000001" customHeight="1">
      <c r="A561" s="848"/>
      <c r="B561" s="2806"/>
      <c r="C561" s="1408" t="s">
        <v>541</v>
      </c>
      <c r="D561" s="1409" t="s">
        <v>542</v>
      </c>
      <c r="E561" s="1404">
        <v>16000</v>
      </c>
      <c r="F561" s="1404">
        <v>16000</v>
      </c>
      <c r="G561" s="1405">
        <f t="shared" si="117"/>
        <v>1</v>
      </c>
    </row>
    <row r="562" spans="1:7" ht="17.100000000000001" customHeight="1">
      <c r="A562" s="848"/>
      <c r="B562" s="2806"/>
      <c r="C562" s="1408" t="s">
        <v>543</v>
      </c>
      <c r="D562" s="1409" t="s">
        <v>544</v>
      </c>
      <c r="E562" s="1404">
        <v>270000</v>
      </c>
      <c r="F562" s="1404">
        <v>270000</v>
      </c>
      <c r="G562" s="1405">
        <f t="shared" si="117"/>
        <v>1</v>
      </c>
    </row>
    <row r="563" spans="1:7" ht="17.100000000000001" customHeight="1">
      <c r="A563" s="848"/>
      <c r="B563" s="2806"/>
      <c r="C563" s="1408" t="s">
        <v>547</v>
      </c>
      <c r="D563" s="1409" t="s">
        <v>548</v>
      </c>
      <c r="E563" s="1404">
        <v>576240</v>
      </c>
      <c r="F563" s="1404">
        <v>1408962</v>
      </c>
      <c r="G563" s="1405">
        <f t="shared" si="117"/>
        <v>2.4450957934194086</v>
      </c>
    </row>
    <row r="564" spans="1:7" ht="17.100000000000001" customHeight="1">
      <c r="A564" s="848"/>
      <c r="B564" s="2806"/>
      <c r="C564" s="1408" t="s">
        <v>549</v>
      </c>
      <c r="D564" s="1409" t="s">
        <v>550</v>
      </c>
      <c r="E564" s="1404">
        <v>3000</v>
      </c>
      <c r="F564" s="1404">
        <v>3000</v>
      </c>
      <c r="G564" s="1405">
        <f t="shared" si="117"/>
        <v>1</v>
      </c>
    </row>
    <row r="565" spans="1:7" ht="17.100000000000001" customHeight="1">
      <c r="A565" s="848"/>
      <c r="B565" s="2806"/>
      <c r="C565" s="1408" t="s">
        <v>551</v>
      </c>
      <c r="D565" s="1409" t="s">
        <v>552</v>
      </c>
      <c r="E565" s="1404">
        <v>115000</v>
      </c>
      <c r="F565" s="1404">
        <v>70000</v>
      </c>
      <c r="G565" s="1405">
        <f t="shared" si="117"/>
        <v>0.60869565217391308</v>
      </c>
    </row>
    <row r="566" spans="1:7" ht="25.5" customHeight="1">
      <c r="A566" s="848"/>
      <c r="B566" s="974"/>
      <c r="C566" s="1410" t="s">
        <v>553</v>
      </c>
      <c r="D566" s="1409" t="s">
        <v>554</v>
      </c>
      <c r="E566" s="1404">
        <v>7100</v>
      </c>
      <c r="F566" s="1404">
        <v>8000</v>
      </c>
      <c r="G566" s="1405">
        <f t="shared" si="117"/>
        <v>1.1267605633802817</v>
      </c>
    </row>
    <row r="567" spans="1:7" ht="17.100000000000001" customHeight="1">
      <c r="A567" s="848"/>
      <c r="B567" s="974"/>
      <c r="C567" s="1410" t="s">
        <v>557</v>
      </c>
      <c r="D567" s="1409" t="s">
        <v>558</v>
      </c>
      <c r="E567" s="1404">
        <v>4816000</v>
      </c>
      <c r="F567" s="1404">
        <v>4500000</v>
      </c>
      <c r="G567" s="1405">
        <f t="shared" si="117"/>
        <v>0.93438538205980071</v>
      </c>
    </row>
    <row r="568" spans="1:7" ht="17.100000000000001" hidden="1" customHeight="1">
      <c r="A568" s="848"/>
      <c r="B568" s="974"/>
      <c r="C568" s="1410" t="s">
        <v>567</v>
      </c>
      <c r="D568" s="1409" t="s">
        <v>568</v>
      </c>
      <c r="E568" s="1404">
        <v>184000</v>
      </c>
      <c r="F568" s="1404">
        <v>0</v>
      </c>
      <c r="G568" s="1405">
        <f t="shared" si="117"/>
        <v>0</v>
      </c>
    </row>
    <row r="569" spans="1:7" ht="15.75" customHeight="1">
      <c r="A569" s="848"/>
      <c r="B569" s="974"/>
      <c r="C569" s="1408" t="s">
        <v>569</v>
      </c>
      <c r="D569" s="1409" t="s">
        <v>570</v>
      </c>
      <c r="E569" s="1404">
        <v>25822</v>
      </c>
      <c r="F569" s="1404">
        <v>25000</v>
      </c>
      <c r="G569" s="1405">
        <f t="shared" si="117"/>
        <v>0.96816667957555569</v>
      </c>
    </row>
    <row r="570" spans="1:7" ht="15.75" customHeight="1">
      <c r="A570" s="848"/>
      <c r="B570" s="974"/>
      <c r="C570" s="1411"/>
      <c r="D570" s="1412"/>
      <c r="E570" s="1404"/>
      <c r="F570" s="1404"/>
      <c r="G570" s="1405"/>
    </row>
    <row r="571" spans="1:7" ht="15.75" customHeight="1">
      <c r="A571" s="848"/>
      <c r="B571" s="974"/>
      <c r="C571" s="3006" t="s">
        <v>574</v>
      </c>
      <c r="D571" s="3006"/>
      <c r="E571" s="1413">
        <f>SUM(E572)</f>
        <v>23735183</v>
      </c>
      <c r="F571" s="1413">
        <f t="shared" ref="F571" si="121">SUM(F572)</f>
        <v>9712735</v>
      </c>
      <c r="G571" s="1414">
        <f t="shared" si="117"/>
        <v>0.40921256010539292</v>
      </c>
    </row>
    <row r="572" spans="1:7" ht="15.75" customHeight="1">
      <c r="A572" s="848"/>
      <c r="B572" s="974"/>
      <c r="C572" s="3007" t="s">
        <v>575</v>
      </c>
      <c r="D572" s="3007"/>
      <c r="E572" s="1404">
        <f>SUM(E573:E578)</f>
        <v>23735183</v>
      </c>
      <c r="F572" s="1404">
        <f t="shared" ref="F572" si="122">SUM(F573:F578)</f>
        <v>9712735</v>
      </c>
      <c r="G572" s="1405">
        <f t="shared" si="117"/>
        <v>0.40921256010539292</v>
      </c>
    </row>
    <row r="573" spans="1:7" ht="15.75" customHeight="1">
      <c r="A573" s="848"/>
      <c r="B573" s="974"/>
      <c r="C573" s="1408" t="s">
        <v>582</v>
      </c>
      <c r="D573" s="1409" t="s">
        <v>577</v>
      </c>
      <c r="E573" s="1404">
        <v>135278</v>
      </c>
      <c r="F573" s="1404">
        <v>137278</v>
      </c>
      <c r="G573" s="1405">
        <f t="shared" si="117"/>
        <v>1.014784369964074</v>
      </c>
    </row>
    <row r="574" spans="1:7" ht="15.75" customHeight="1">
      <c r="A574" s="848"/>
      <c r="B574" s="974"/>
      <c r="C574" s="1408" t="s">
        <v>676</v>
      </c>
      <c r="D574" s="1409" t="s">
        <v>577</v>
      </c>
      <c r="E574" s="1404">
        <f>3264870+1135167</f>
        <v>4400037</v>
      </c>
      <c r="F574" s="1404">
        <f>2946081+273418</f>
        <v>3219499</v>
      </c>
      <c r="G574" s="1405">
        <f t="shared" si="117"/>
        <v>0.73169816526542841</v>
      </c>
    </row>
    <row r="575" spans="1:7" ht="15.75" hidden="1" customHeight="1">
      <c r="A575" s="848"/>
      <c r="B575" s="974"/>
      <c r="C575" s="1408" t="s">
        <v>690</v>
      </c>
      <c r="D575" s="1409" t="s">
        <v>577</v>
      </c>
      <c r="E575" s="1404">
        <v>0</v>
      </c>
      <c r="F575" s="1404">
        <v>0</v>
      </c>
      <c r="G575" s="1405"/>
    </row>
    <row r="576" spans="1:7" ht="18.75" customHeight="1">
      <c r="A576" s="848"/>
      <c r="B576" s="974"/>
      <c r="C576" s="1408" t="s">
        <v>677</v>
      </c>
      <c r="D576" s="1409" t="s">
        <v>577</v>
      </c>
      <c r="E576" s="1404">
        <f>489997+200324</f>
        <v>690321</v>
      </c>
      <c r="F576" s="1404">
        <f>451282+48251</f>
        <v>499533</v>
      </c>
      <c r="G576" s="1405">
        <f t="shared" si="117"/>
        <v>0.72362422699005247</v>
      </c>
    </row>
    <row r="577" spans="1:7" ht="55.5" customHeight="1">
      <c r="A577" s="848"/>
      <c r="B577" s="974"/>
      <c r="C577" s="1415" t="s">
        <v>722</v>
      </c>
      <c r="D577" s="1399" t="s">
        <v>660</v>
      </c>
      <c r="E577" s="1373">
        <v>18359547</v>
      </c>
      <c r="F577" s="1373">
        <v>5856425</v>
      </c>
      <c r="G577" s="1328">
        <f t="shared" si="117"/>
        <v>0.31898526690228252</v>
      </c>
    </row>
    <row r="578" spans="1:7" ht="40.5" hidden="1" customHeight="1">
      <c r="A578" s="848"/>
      <c r="B578" s="974"/>
      <c r="C578" s="1350" t="s">
        <v>695</v>
      </c>
      <c r="D578" s="1351" t="s">
        <v>696</v>
      </c>
      <c r="E578" s="1373">
        <v>150000</v>
      </c>
      <c r="F578" s="1373">
        <v>0</v>
      </c>
      <c r="G578" s="1328">
        <f t="shared" si="117"/>
        <v>0</v>
      </c>
    </row>
    <row r="579" spans="1:7" ht="15.75" customHeight="1">
      <c r="A579" s="848"/>
      <c r="B579" s="974"/>
      <c r="C579" s="3008"/>
      <c r="D579" s="3008"/>
      <c r="E579" s="1392"/>
      <c r="F579" s="1392"/>
      <c r="G579" s="1393"/>
    </row>
    <row r="580" spans="1:7" ht="15.75" customHeight="1">
      <c r="A580" s="848"/>
      <c r="B580" s="974"/>
      <c r="C580" s="3009" t="s">
        <v>585</v>
      </c>
      <c r="D580" s="3010"/>
      <c r="E580" s="1416">
        <f>SUM(E581:E585)</f>
        <v>23449905</v>
      </c>
      <c r="F580" s="1416">
        <f t="shared" ref="F580" si="123">SUM(F581:F585)</f>
        <v>9577457</v>
      </c>
      <c r="G580" s="1417">
        <f t="shared" si="117"/>
        <v>0.40842199573942839</v>
      </c>
    </row>
    <row r="581" spans="1:7" ht="15.75" customHeight="1">
      <c r="A581" s="848"/>
      <c r="B581" s="974"/>
      <c r="C581" s="1350" t="s">
        <v>582</v>
      </c>
      <c r="D581" s="1351" t="s">
        <v>577</v>
      </c>
      <c r="E581" s="1392">
        <v>0</v>
      </c>
      <c r="F581" s="1392">
        <v>2000</v>
      </c>
      <c r="G581" s="1393"/>
    </row>
    <row r="582" spans="1:7" ht="15.75" customHeight="1">
      <c r="A582" s="848"/>
      <c r="B582" s="974"/>
      <c r="C582" s="1350" t="s">
        <v>676</v>
      </c>
      <c r="D582" s="1351" t="s">
        <v>577</v>
      </c>
      <c r="E582" s="1392">
        <f>3264870+1135167</f>
        <v>4400037</v>
      </c>
      <c r="F582" s="1392">
        <f>2946081+273418</f>
        <v>3219499</v>
      </c>
      <c r="G582" s="1393">
        <f t="shared" si="117"/>
        <v>0.73169816526542841</v>
      </c>
    </row>
    <row r="583" spans="1:7" ht="15.75" hidden="1" customHeight="1">
      <c r="A583" s="848"/>
      <c r="B583" s="974"/>
      <c r="C583" s="1350" t="s">
        <v>690</v>
      </c>
      <c r="D583" s="1351" t="s">
        <v>577</v>
      </c>
      <c r="E583" s="1392">
        <v>0</v>
      </c>
      <c r="F583" s="1392">
        <v>0</v>
      </c>
      <c r="G583" s="1393" t="e">
        <f t="shared" si="117"/>
        <v>#DIV/0!</v>
      </c>
    </row>
    <row r="584" spans="1:7" ht="15.75" customHeight="1">
      <c r="A584" s="848"/>
      <c r="B584" s="974"/>
      <c r="C584" s="1350" t="s">
        <v>677</v>
      </c>
      <c r="D584" s="1351" t="s">
        <v>577</v>
      </c>
      <c r="E584" s="1392">
        <f>489997+200324</f>
        <v>690321</v>
      </c>
      <c r="F584" s="1392">
        <f>451282+48251</f>
        <v>499533</v>
      </c>
      <c r="G584" s="1393">
        <f t="shared" si="117"/>
        <v>0.72362422699005247</v>
      </c>
    </row>
    <row r="585" spans="1:7" ht="53.25" customHeight="1" thickBot="1">
      <c r="A585" s="848"/>
      <c r="B585" s="974"/>
      <c r="C585" s="1344" t="s">
        <v>722</v>
      </c>
      <c r="D585" s="1399" t="s">
        <v>660</v>
      </c>
      <c r="E585" s="1418">
        <v>18359547</v>
      </c>
      <c r="F585" s="1418">
        <v>5856425</v>
      </c>
      <c r="G585" s="1419">
        <f t="shared" si="117"/>
        <v>0.31898526690228252</v>
      </c>
    </row>
    <row r="586" spans="1:7" ht="17.100000000000001" customHeight="1" thickBot="1">
      <c r="A586" s="842" t="s">
        <v>162</v>
      </c>
      <c r="B586" s="843"/>
      <c r="C586" s="844"/>
      <c r="D586" s="845" t="s">
        <v>723</v>
      </c>
      <c r="E586" s="846">
        <f>E587+E591</f>
        <v>1510075</v>
      </c>
      <c r="F586" s="846">
        <f t="shared" ref="F586" si="124">F587+F591</f>
        <v>1290856</v>
      </c>
      <c r="G586" s="847">
        <f t="shared" si="117"/>
        <v>0.85482906478155063</v>
      </c>
    </row>
    <row r="587" spans="1:7" ht="17.100000000000001" customHeight="1" thickBot="1">
      <c r="A587" s="1420"/>
      <c r="B587" s="1072" t="s">
        <v>163</v>
      </c>
      <c r="C587" s="1073"/>
      <c r="D587" s="1074" t="s">
        <v>724</v>
      </c>
      <c r="E587" s="1075">
        <f>E588</f>
        <v>50000</v>
      </c>
      <c r="F587" s="1075">
        <f t="shared" ref="F587" si="125">F588</f>
        <v>50000</v>
      </c>
      <c r="G587" s="1076">
        <f t="shared" si="117"/>
        <v>1</v>
      </c>
    </row>
    <row r="588" spans="1:7" ht="17.100000000000001" customHeight="1">
      <c r="A588" s="1420"/>
      <c r="B588" s="1421"/>
      <c r="C588" s="2802" t="s">
        <v>521</v>
      </c>
      <c r="D588" s="2802"/>
      <c r="E588" s="1422">
        <f>E589</f>
        <v>50000</v>
      </c>
      <c r="F588" s="1422">
        <f>F589</f>
        <v>50000</v>
      </c>
      <c r="G588" s="1423">
        <f t="shared" si="117"/>
        <v>1</v>
      </c>
    </row>
    <row r="589" spans="1:7" ht="17.100000000000001" customHeight="1">
      <c r="A589" s="1420"/>
      <c r="B589" s="1424"/>
      <c r="C589" s="3011" t="s">
        <v>618</v>
      </c>
      <c r="D589" s="3011"/>
      <c r="E589" s="1425">
        <f>E590</f>
        <v>50000</v>
      </c>
      <c r="F589" s="1425">
        <f t="shared" ref="F589" si="126">F590</f>
        <v>50000</v>
      </c>
      <c r="G589" s="1426">
        <f t="shared" si="117"/>
        <v>1</v>
      </c>
    </row>
    <row r="590" spans="1:7" ht="50.25" customHeight="1" thickBot="1">
      <c r="A590" s="1420"/>
      <c r="B590" s="1427"/>
      <c r="C590" s="1428" t="s">
        <v>633</v>
      </c>
      <c r="D590" s="1370" t="s">
        <v>699</v>
      </c>
      <c r="E590" s="1371">
        <v>50000</v>
      </c>
      <c r="F590" s="1371">
        <v>50000</v>
      </c>
      <c r="G590" s="1429">
        <f t="shared" si="117"/>
        <v>1</v>
      </c>
    </row>
    <row r="591" spans="1:7" ht="17.100000000000001" customHeight="1" thickBot="1">
      <c r="A591" s="1430"/>
      <c r="B591" s="1072" t="s">
        <v>725</v>
      </c>
      <c r="C591" s="1073"/>
      <c r="D591" s="1074" t="s">
        <v>254</v>
      </c>
      <c r="E591" s="1075">
        <f>SUM(E592+E627)</f>
        <v>1460075</v>
      </c>
      <c r="F591" s="1075">
        <f t="shared" ref="F591" si="127">SUM(F592+F627)</f>
        <v>1240856</v>
      </c>
      <c r="G591" s="1076">
        <f t="shared" si="117"/>
        <v>0.84985771278872657</v>
      </c>
    </row>
    <row r="592" spans="1:7" ht="17.100000000000001" customHeight="1">
      <c r="A592" s="848"/>
      <c r="B592" s="2806"/>
      <c r="C592" s="2802" t="s">
        <v>521</v>
      </c>
      <c r="D592" s="2802"/>
      <c r="E592" s="854">
        <f>E593</f>
        <v>1234812</v>
      </c>
      <c r="F592" s="854">
        <f t="shared" ref="F592" si="128">F593</f>
        <v>1228856</v>
      </c>
      <c r="G592" s="855">
        <f t="shared" si="117"/>
        <v>0.99517659368389677</v>
      </c>
    </row>
    <row r="593" spans="1:7" ht="17.100000000000001" customHeight="1">
      <c r="A593" s="848"/>
      <c r="B593" s="2806"/>
      <c r="C593" s="2981" t="s">
        <v>587</v>
      </c>
      <c r="D593" s="2981"/>
      <c r="E593" s="1431">
        <f>SUM(E594:E625)</f>
        <v>1234812</v>
      </c>
      <c r="F593" s="1431">
        <f t="shared" ref="F593" si="129">SUM(F594:F625)</f>
        <v>1228856</v>
      </c>
      <c r="G593" s="1432">
        <f t="shared" si="117"/>
        <v>0.99517659368389677</v>
      </c>
    </row>
    <row r="594" spans="1:7" ht="39" hidden="1" customHeight="1">
      <c r="A594" s="848"/>
      <c r="B594" s="974"/>
      <c r="C594" s="1433" t="s">
        <v>331</v>
      </c>
      <c r="D594" s="1434" t="s">
        <v>644</v>
      </c>
      <c r="E594" s="1431">
        <v>15</v>
      </c>
      <c r="F594" s="1431">
        <v>0</v>
      </c>
      <c r="G594" s="1432">
        <f t="shared" si="117"/>
        <v>0</v>
      </c>
    </row>
    <row r="595" spans="1:7" ht="17.25" customHeight="1">
      <c r="A595" s="848"/>
      <c r="B595" s="974"/>
      <c r="C595" s="1433" t="s">
        <v>647</v>
      </c>
      <c r="D595" s="1435" t="s">
        <v>525</v>
      </c>
      <c r="E595" s="1431">
        <v>0</v>
      </c>
      <c r="F595" s="1431">
        <v>100141</v>
      </c>
      <c r="G595" s="1432"/>
    </row>
    <row r="596" spans="1:7" ht="17.100000000000001" customHeight="1">
      <c r="A596" s="848"/>
      <c r="B596" s="974"/>
      <c r="C596" s="1436" t="s">
        <v>591</v>
      </c>
      <c r="D596" s="1435" t="s">
        <v>525</v>
      </c>
      <c r="E596" s="1431">
        <v>86973</v>
      </c>
      <c r="F596" s="1431">
        <v>82368</v>
      </c>
      <c r="G596" s="1432">
        <f t="shared" si="117"/>
        <v>0.94705253354489327</v>
      </c>
    </row>
    <row r="597" spans="1:7" ht="17.100000000000001" customHeight="1">
      <c r="A597" s="848"/>
      <c r="B597" s="974"/>
      <c r="C597" s="1436" t="s">
        <v>592</v>
      </c>
      <c r="D597" s="1435" t="s">
        <v>525</v>
      </c>
      <c r="E597" s="1431">
        <v>15349</v>
      </c>
      <c r="F597" s="1431">
        <v>14536</v>
      </c>
      <c r="G597" s="1432">
        <f t="shared" si="117"/>
        <v>0.94703237995960654</v>
      </c>
    </row>
    <row r="598" spans="1:7" ht="17.100000000000001" customHeight="1">
      <c r="A598" s="848"/>
      <c r="B598" s="974"/>
      <c r="C598" s="1436" t="s">
        <v>593</v>
      </c>
      <c r="D598" s="1435" t="s">
        <v>527</v>
      </c>
      <c r="E598" s="1431">
        <v>10428</v>
      </c>
      <c r="F598" s="1431">
        <v>3145</v>
      </c>
      <c r="G598" s="1432">
        <f t="shared" si="117"/>
        <v>0.30159186804756427</v>
      </c>
    </row>
    <row r="599" spans="1:7" ht="17.100000000000001" customHeight="1">
      <c r="A599" s="848"/>
      <c r="B599" s="974"/>
      <c r="C599" s="1436" t="s">
        <v>594</v>
      </c>
      <c r="D599" s="1435" t="s">
        <v>527</v>
      </c>
      <c r="E599" s="1431">
        <v>1840</v>
      </c>
      <c r="F599" s="1431">
        <v>555</v>
      </c>
      <c r="G599" s="1432">
        <f t="shared" si="117"/>
        <v>0.3016304347826087</v>
      </c>
    </row>
    <row r="600" spans="1:7" ht="17.100000000000001" customHeight="1">
      <c r="A600" s="848"/>
      <c r="B600" s="974"/>
      <c r="C600" s="1436" t="s">
        <v>649</v>
      </c>
      <c r="D600" s="1435" t="s">
        <v>529</v>
      </c>
      <c r="E600" s="1431">
        <v>0</v>
      </c>
      <c r="F600" s="1431">
        <v>17405</v>
      </c>
      <c r="G600" s="1432"/>
    </row>
    <row r="601" spans="1:7" ht="17.100000000000001" customHeight="1">
      <c r="A601" s="848"/>
      <c r="B601" s="974"/>
      <c r="C601" s="1436" t="s">
        <v>595</v>
      </c>
      <c r="D601" s="1435" t="s">
        <v>529</v>
      </c>
      <c r="E601" s="1431">
        <v>17586</v>
      </c>
      <c r="F601" s="1431">
        <v>14862</v>
      </c>
      <c r="G601" s="1432">
        <f t="shared" si="117"/>
        <v>0.84510406004776528</v>
      </c>
    </row>
    <row r="602" spans="1:7" ht="17.100000000000001" customHeight="1">
      <c r="A602" s="848"/>
      <c r="B602" s="974"/>
      <c r="C602" s="1436" t="s">
        <v>596</v>
      </c>
      <c r="D602" s="1435" t="s">
        <v>529</v>
      </c>
      <c r="E602" s="1431">
        <v>3105</v>
      </c>
      <c r="F602" s="1431">
        <v>2623</v>
      </c>
      <c r="G602" s="1432">
        <f t="shared" si="117"/>
        <v>0.84476650563607081</v>
      </c>
    </row>
    <row r="603" spans="1:7" ht="17.100000000000001" customHeight="1">
      <c r="A603" s="848"/>
      <c r="B603" s="974"/>
      <c r="C603" s="1436" t="s">
        <v>650</v>
      </c>
      <c r="D603" s="1435" t="s">
        <v>531</v>
      </c>
      <c r="E603" s="1431">
        <v>0</v>
      </c>
      <c r="F603" s="1431">
        <v>2454</v>
      </c>
      <c r="G603" s="1432"/>
    </row>
    <row r="604" spans="1:7" ht="17.100000000000001" customHeight="1">
      <c r="A604" s="848"/>
      <c r="B604" s="974"/>
      <c r="C604" s="1436" t="s">
        <v>597</v>
      </c>
      <c r="D604" s="1435" t="s">
        <v>531</v>
      </c>
      <c r="E604" s="1431">
        <v>2791</v>
      </c>
      <c r="F604" s="1431">
        <v>2095</v>
      </c>
      <c r="G604" s="1432">
        <f t="shared" si="117"/>
        <v>0.75062701540666432</v>
      </c>
    </row>
    <row r="605" spans="1:7" ht="17.100000000000001" customHeight="1">
      <c r="A605" s="848"/>
      <c r="B605" s="974"/>
      <c r="C605" s="1436" t="s">
        <v>598</v>
      </c>
      <c r="D605" s="1435" t="s">
        <v>531</v>
      </c>
      <c r="E605" s="1431">
        <v>492</v>
      </c>
      <c r="F605" s="1431">
        <v>370</v>
      </c>
      <c r="G605" s="1432">
        <f t="shared" si="117"/>
        <v>0.75203252032520329</v>
      </c>
    </row>
    <row r="606" spans="1:7" ht="17.100000000000001" customHeight="1">
      <c r="A606" s="848"/>
      <c r="B606" s="860"/>
      <c r="C606" s="1437" t="s">
        <v>726</v>
      </c>
      <c r="D606" s="1435" t="s">
        <v>533</v>
      </c>
      <c r="E606" s="1431">
        <v>140000</v>
      </c>
      <c r="F606" s="1431">
        <v>160000</v>
      </c>
      <c r="G606" s="1432">
        <f t="shared" si="117"/>
        <v>1.1428571428571428</v>
      </c>
    </row>
    <row r="607" spans="1:7" ht="17.100000000000001" customHeight="1">
      <c r="A607" s="848"/>
      <c r="B607" s="860"/>
      <c r="C607" s="1437" t="s">
        <v>599</v>
      </c>
      <c r="D607" s="1435" t="s">
        <v>533</v>
      </c>
      <c r="E607" s="1431">
        <v>4250</v>
      </c>
      <c r="F607" s="1431">
        <v>1702</v>
      </c>
      <c r="G607" s="1432">
        <f t="shared" si="117"/>
        <v>0.40047058823529413</v>
      </c>
    </row>
    <row r="608" spans="1:7" ht="17.100000000000001" customHeight="1">
      <c r="A608" s="848"/>
      <c r="B608" s="860"/>
      <c r="C608" s="1437" t="s">
        <v>600</v>
      </c>
      <c r="D608" s="1435" t="s">
        <v>533</v>
      </c>
      <c r="E608" s="1431">
        <v>750</v>
      </c>
      <c r="F608" s="1431">
        <v>300</v>
      </c>
      <c r="G608" s="1432">
        <f t="shared" si="117"/>
        <v>0.4</v>
      </c>
    </row>
    <row r="609" spans="1:7" ht="17.100000000000001" customHeight="1">
      <c r="A609" s="848"/>
      <c r="B609" s="860"/>
      <c r="C609" s="1437" t="s">
        <v>651</v>
      </c>
      <c r="D609" s="1435" t="s">
        <v>538</v>
      </c>
      <c r="E609" s="1431">
        <v>70000</v>
      </c>
      <c r="F609" s="1431">
        <v>20000</v>
      </c>
      <c r="G609" s="1432">
        <f t="shared" si="117"/>
        <v>0.2857142857142857</v>
      </c>
    </row>
    <row r="610" spans="1:7" ht="17.100000000000001" customHeight="1">
      <c r="A610" s="848"/>
      <c r="B610" s="860"/>
      <c r="C610" s="1437" t="s">
        <v>604</v>
      </c>
      <c r="D610" s="1435" t="s">
        <v>538</v>
      </c>
      <c r="E610" s="1431">
        <v>10398</v>
      </c>
      <c r="F610" s="1431">
        <v>9180</v>
      </c>
      <c r="G610" s="1432">
        <f t="shared" si="117"/>
        <v>0.88286208886324291</v>
      </c>
    </row>
    <row r="611" spans="1:7" ht="17.100000000000001" customHeight="1">
      <c r="A611" s="848"/>
      <c r="B611" s="860"/>
      <c r="C611" s="1437" t="s">
        <v>605</v>
      </c>
      <c r="D611" s="1435" t="s">
        <v>538</v>
      </c>
      <c r="E611" s="1431">
        <v>1835</v>
      </c>
      <c r="F611" s="1431">
        <v>1620</v>
      </c>
      <c r="G611" s="1432">
        <f t="shared" si="117"/>
        <v>0.8828337874659401</v>
      </c>
    </row>
    <row r="612" spans="1:7" ht="17.100000000000001" customHeight="1">
      <c r="A612" s="848"/>
      <c r="B612" s="860"/>
      <c r="C612" s="1437" t="s">
        <v>652</v>
      </c>
      <c r="D612" s="1435" t="s">
        <v>548</v>
      </c>
      <c r="E612" s="1431">
        <v>310000</v>
      </c>
      <c r="F612" s="1431">
        <v>290000</v>
      </c>
      <c r="G612" s="1432">
        <f t="shared" si="117"/>
        <v>0.93548387096774188</v>
      </c>
    </row>
    <row r="613" spans="1:7" ht="17.100000000000001" customHeight="1">
      <c r="A613" s="848"/>
      <c r="B613" s="860"/>
      <c r="C613" s="1437" t="s">
        <v>608</v>
      </c>
      <c r="D613" s="1435" t="s">
        <v>548</v>
      </c>
      <c r="E613" s="1431">
        <v>16150</v>
      </c>
      <c r="F613" s="1431">
        <v>56100</v>
      </c>
      <c r="G613" s="1432">
        <f t="shared" si="117"/>
        <v>3.4736842105263159</v>
      </c>
    </row>
    <row r="614" spans="1:7" ht="17.100000000000001" customHeight="1">
      <c r="A614" s="848"/>
      <c r="B614" s="860"/>
      <c r="C614" s="1437" t="s">
        <v>609</v>
      </c>
      <c r="D614" s="1435" t="s">
        <v>548</v>
      </c>
      <c r="E614" s="1431">
        <v>2850</v>
      </c>
      <c r="F614" s="1431">
        <v>9900</v>
      </c>
      <c r="G614" s="1432">
        <f t="shared" si="117"/>
        <v>3.4736842105263159</v>
      </c>
    </row>
    <row r="615" spans="1:7" ht="16.5" customHeight="1">
      <c r="A615" s="848"/>
      <c r="B615" s="860"/>
      <c r="C615" s="1437" t="s">
        <v>727</v>
      </c>
      <c r="D615" s="1435" t="s">
        <v>701</v>
      </c>
      <c r="E615" s="1431">
        <v>100000</v>
      </c>
      <c r="F615" s="1431">
        <v>40000</v>
      </c>
      <c r="G615" s="1432">
        <f t="shared" si="117"/>
        <v>0.4</v>
      </c>
    </row>
    <row r="616" spans="1:7" ht="16.5" customHeight="1">
      <c r="A616" s="848"/>
      <c r="B616" s="860"/>
      <c r="C616" s="1437" t="s">
        <v>728</v>
      </c>
      <c r="D616" s="1435" t="s">
        <v>701</v>
      </c>
      <c r="E616" s="1431">
        <v>4250</v>
      </c>
      <c r="F616" s="1431">
        <v>3825</v>
      </c>
      <c r="G616" s="1432">
        <f t="shared" si="117"/>
        <v>0.9</v>
      </c>
    </row>
    <row r="617" spans="1:7" ht="16.5" customHeight="1">
      <c r="A617" s="848"/>
      <c r="B617" s="860"/>
      <c r="C617" s="1437" t="s">
        <v>700</v>
      </c>
      <c r="D617" s="1435" t="s">
        <v>701</v>
      </c>
      <c r="E617" s="1431">
        <v>750</v>
      </c>
      <c r="F617" s="1431">
        <v>675</v>
      </c>
      <c r="G617" s="1432">
        <f t="shared" si="117"/>
        <v>0.9</v>
      </c>
    </row>
    <row r="618" spans="1:7" ht="16.5" customHeight="1">
      <c r="A618" s="848"/>
      <c r="B618" s="860"/>
      <c r="C618" s="1437" t="s">
        <v>729</v>
      </c>
      <c r="D618" s="1435" t="s">
        <v>552</v>
      </c>
      <c r="E618" s="1431">
        <v>60000</v>
      </c>
      <c r="F618" s="1431">
        <v>120000</v>
      </c>
      <c r="G618" s="1432">
        <f t="shared" si="117"/>
        <v>2</v>
      </c>
    </row>
    <row r="619" spans="1:7" ht="16.5" hidden="1" customHeight="1">
      <c r="A619" s="848"/>
      <c r="B619" s="860"/>
      <c r="C619" s="1437" t="s">
        <v>610</v>
      </c>
      <c r="D619" s="1435" t="s">
        <v>552</v>
      </c>
      <c r="E619" s="1431">
        <v>4250</v>
      </c>
      <c r="F619" s="1431">
        <v>0</v>
      </c>
      <c r="G619" s="1432">
        <f t="shared" ref="G619:G683" si="130">F619/E619</f>
        <v>0</v>
      </c>
    </row>
    <row r="620" spans="1:7" ht="16.5" hidden="1" customHeight="1">
      <c r="A620" s="848"/>
      <c r="B620" s="860"/>
      <c r="C620" s="1437" t="s">
        <v>611</v>
      </c>
      <c r="D620" s="1435" t="s">
        <v>552</v>
      </c>
      <c r="E620" s="1431">
        <v>750</v>
      </c>
      <c r="F620" s="1431">
        <v>0</v>
      </c>
      <c r="G620" s="1432">
        <f t="shared" si="130"/>
        <v>0</v>
      </c>
    </row>
    <row r="621" spans="1:7" ht="17.100000000000001" customHeight="1">
      <c r="A621" s="848"/>
      <c r="B621" s="860"/>
      <c r="C621" s="1437" t="s">
        <v>653</v>
      </c>
      <c r="D621" s="1435" t="s">
        <v>556</v>
      </c>
      <c r="E621" s="1431">
        <v>50000</v>
      </c>
      <c r="F621" s="1431">
        <v>50000</v>
      </c>
      <c r="G621" s="1432">
        <f t="shared" si="130"/>
        <v>1</v>
      </c>
    </row>
    <row r="622" spans="1:7" ht="17.100000000000001" customHeight="1">
      <c r="A622" s="848"/>
      <c r="B622" s="860"/>
      <c r="C622" s="1438" t="s">
        <v>730</v>
      </c>
      <c r="D622" s="1439" t="s">
        <v>684</v>
      </c>
      <c r="E622" s="1431">
        <v>200000</v>
      </c>
      <c r="F622" s="1431">
        <v>150000</v>
      </c>
      <c r="G622" s="1432">
        <f t="shared" si="130"/>
        <v>0.75</v>
      </c>
    </row>
    <row r="623" spans="1:7" ht="17.100000000000001" customHeight="1">
      <c r="A623" s="848"/>
      <c r="B623" s="860"/>
      <c r="C623" s="1437" t="s">
        <v>702</v>
      </c>
      <c r="D623" s="1439" t="s">
        <v>684</v>
      </c>
      <c r="E623" s="1431">
        <v>34000</v>
      </c>
      <c r="F623" s="1431">
        <v>12750</v>
      </c>
      <c r="G623" s="1432">
        <f t="shared" si="130"/>
        <v>0.375</v>
      </c>
    </row>
    <row r="624" spans="1:7" ht="17.100000000000001" customHeight="1">
      <c r="A624" s="848"/>
      <c r="B624" s="860"/>
      <c r="C624" s="1437" t="s">
        <v>703</v>
      </c>
      <c r="D624" s="1439" t="s">
        <v>684</v>
      </c>
      <c r="E624" s="1431">
        <v>6000</v>
      </c>
      <c r="F624" s="1431">
        <v>2250</v>
      </c>
      <c r="G624" s="1432">
        <f t="shared" si="130"/>
        <v>0.375</v>
      </c>
    </row>
    <row r="625" spans="1:7" ht="17.100000000000001" customHeight="1">
      <c r="A625" s="848"/>
      <c r="B625" s="860"/>
      <c r="C625" s="1440" t="s">
        <v>654</v>
      </c>
      <c r="D625" s="1441" t="s">
        <v>570</v>
      </c>
      <c r="E625" s="1431">
        <v>80000</v>
      </c>
      <c r="F625" s="1431">
        <v>60000</v>
      </c>
      <c r="G625" s="1432">
        <f t="shared" si="130"/>
        <v>0.75</v>
      </c>
    </row>
    <row r="626" spans="1:7" ht="17.100000000000001" customHeight="1">
      <c r="A626" s="848"/>
      <c r="B626" s="860"/>
      <c r="C626" s="3003"/>
      <c r="D626" s="3004"/>
      <c r="E626" s="1431"/>
      <c r="F626" s="1431"/>
      <c r="G626" s="1432"/>
    </row>
    <row r="627" spans="1:7" ht="17.100000000000001" customHeight="1">
      <c r="A627" s="848"/>
      <c r="B627" s="860"/>
      <c r="C627" s="2997" t="s">
        <v>574</v>
      </c>
      <c r="D627" s="2998"/>
      <c r="E627" s="1442">
        <f>E628</f>
        <v>225263</v>
      </c>
      <c r="F627" s="1442">
        <f t="shared" ref="F627" si="131">F628</f>
        <v>12000</v>
      </c>
      <c r="G627" s="1443">
        <f t="shared" si="130"/>
        <v>5.3271065376914985E-2</v>
      </c>
    </row>
    <row r="628" spans="1:7" ht="17.100000000000001" customHeight="1">
      <c r="A628" s="848"/>
      <c r="B628" s="860"/>
      <c r="C628" s="2999" t="s">
        <v>575</v>
      </c>
      <c r="D628" s="3000"/>
      <c r="E628" s="1444">
        <f>SUM(E629)</f>
        <v>225263</v>
      </c>
      <c r="F628" s="1444">
        <f t="shared" ref="F628" si="132">SUM(F629)</f>
        <v>12000</v>
      </c>
      <c r="G628" s="1432">
        <f t="shared" si="130"/>
        <v>5.3271065376914985E-2</v>
      </c>
    </row>
    <row r="629" spans="1:7" ht="17.100000000000001" customHeight="1">
      <c r="A629" s="848"/>
      <c r="B629" s="860"/>
      <c r="C629" s="1445" t="s">
        <v>676</v>
      </c>
      <c r="D629" s="1446" t="s">
        <v>577</v>
      </c>
      <c r="E629" s="1444">
        <v>225263</v>
      </c>
      <c r="F629" s="1444">
        <v>12000</v>
      </c>
      <c r="G629" s="1432">
        <f t="shared" si="130"/>
        <v>5.3271065376914985E-2</v>
      </c>
    </row>
    <row r="630" spans="1:7" ht="17.100000000000001" customHeight="1">
      <c r="A630" s="848"/>
      <c r="B630" s="860"/>
      <c r="C630" s="1447"/>
      <c r="D630" s="1367"/>
      <c r="E630" s="1448"/>
      <c r="F630" s="1448"/>
      <c r="G630" s="963"/>
    </row>
    <row r="631" spans="1:7" ht="17.100000000000001" customHeight="1">
      <c r="A631" s="848"/>
      <c r="B631" s="860"/>
      <c r="C631" s="3002" t="s">
        <v>585</v>
      </c>
      <c r="D631" s="3005"/>
      <c r="E631" s="1431">
        <f>E632</f>
        <v>225263</v>
      </c>
      <c r="F631" s="1431">
        <f>F632</f>
        <v>12000</v>
      </c>
      <c r="G631" s="1432">
        <f t="shared" si="130"/>
        <v>5.3271065376914985E-2</v>
      </c>
    </row>
    <row r="632" spans="1:7" ht="17.100000000000001" customHeight="1" thickBot="1">
      <c r="A632" s="848"/>
      <c r="B632" s="860"/>
      <c r="C632" s="1437" t="s">
        <v>676</v>
      </c>
      <c r="D632" s="1435" t="s">
        <v>577</v>
      </c>
      <c r="E632" s="1431">
        <v>225263</v>
      </c>
      <c r="F632" s="1431">
        <v>12000</v>
      </c>
      <c r="G632" s="1432">
        <f t="shared" si="130"/>
        <v>5.3271065376914985E-2</v>
      </c>
    </row>
    <row r="633" spans="1:7" ht="17.100000000000001" customHeight="1" thickBot="1">
      <c r="A633" s="842" t="s">
        <v>731</v>
      </c>
      <c r="B633" s="843"/>
      <c r="C633" s="844"/>
      <c r="D633" s="845" t="s">
        <v>732</v>
      </c>
      <c r="E633" s="846">
        <f>SUM(E634,E647,E665,E757,E768,E846,E865,E831)</f>
        <v>160415658</v>
      </c>
      <c r="F633" s="846">
        <f>SUM(F634,F647,F665,F757,F768,F846,F865,F831)</f>
        <v>146849845</v>
      </c>
      <c r="G633" s="847">
        <f t="shared" si="130"/>
        <v>0.91543336124956076</v>
      </c>
    </row>
    <row r="634" spans="1:7" ht="17.100000000000001" customHeight="1" thickBot="1">
      <c r="A634" s="848"/>
      <c r="B634" s="1072" t="s">
        <v>733</v>
      </c>
      <c r="C634" s="1073"/>
      <c r="D634" s="1074" t="s">
        <v>341</v>
      </c>
      <c r="E634" s="1075">
        <f t="shared" ref="E634:F635" si="133">E635</f>
        <v>1175375</v>
      </c>
      <c r="F634" s="1075">
        <f t="shared" si="133"/>
        <v>1148961</v>
      </c>
      <c r="G634" s="1076">
        <f t="shared" si="130"/>
        <v>0.9775271721790918</v>
      </c>
    </row>
    <row r="635" spans="1:7" ht="17.100000000000001" customHeight="1">
      <c r="A635" s="848"/>
      <c r="B635" s="2806"/>
      <c r="C635" s="2802" t="s">
        <v>521</v>
      </c>
      <c r="D635" s="2802"/>
      <c r="E635" s="854">
        <f t="shared" si="133"/>
        <v>1175375</v>
      </c>
      <c r="F635" s="854">
        <f t="shared" si="133"/>
        <v>1148961</v>
      </c>
      <c r="G635" s="855">
        <f t="shared" si="130"/>
        <v>0.9775271721790918</v>
      </c>
    </row>
    <row r="636" spans="1:7" ht="17.100000000000001" customHeight="1">
      <c r="A636" s="848"/>
      <c r="B636" s="2806"/>
      <c r="C636" s="2981" t="s">
        <v>522</v>
      </c>
      <c r="D636" s="2981"/>
      <c r="E636" s="1431">
        <f>E637+E644</f>
        <v>1175375</v>
      </c>
      <c r="F636" s="1431">
        <f t="shared" ref="F636" si="134">F637+F644</f>
        <v>1148961</v>
      </c>
      <c r="G636" s="1432">
        <f t="shared" si="130"/>
        <v>0.9775271721790918</v>
      </c>
    </row>
    <row r="637" spans="1:7" ht="17.100000000000001" customHeight="1">
      <c r="A637" s="848"/>
      <c r="B637" s="2806"/>
      <c r="C637" s="2987" t="s">
        <v>523</v>
      </c>
      <c r="D637" s="2987"/>
      <c r="E637" s="1449">
        <f>SUM(E638:E642)</f>
        <v>1153912</v>
      </c>
      <c r="F637" s="1449">
        <f>SUM(F638:F642)</f>
        <v>1130093</v>
      </c>
      <c r="G637" s="1450">
        <f t="shared" si="130"/>
        <v>0.97935804463425291</v>
      </c>
    </row>
    <row r="638" spans="1:7" ht="17.100000000000001" customHeight="1">
      <c r="A638" s="848"/>
      <c r="B638" s="2806"/>
      <c r="C638" s="1437" t="s">
        <v>524</v>
      </c>
      <c r="D638" s="1435" t="s">
        <v>525</v>
      </c>
      <c r="E638" s="1431">
        <v>880790</v>
      </c>
      <c r="F638" s="1431">
        <v>885204</v>
      </c>
      <c r="G638" s="1432">
        <f t="shared" si="130"/>
        <v>1.0050114102112877</v>
      </c>
    </row>
    <row r="639" spans="1:7" ht="17.100000000000001" customHeight="1">
      <c r="A639" s="848"/>
      <c r="B639" s="2806"/>
      <c r="C639" s="1437" t="s">
        <v>526</v>
      </c>
      <c r="D639" s="1435" t="s">
        <v>527</v>
      </c>
      <c r="E639" s="1431">
        <v>70292</v>
      </c>
      <c r="F639" s="1431">
        <v>66433</v>
      </c>
      <c r="G639" s="1432">
        <f t="shared" si="130"/>
        <v>0.94510043817219602</v>
      </c>
    </row>
    <row r="640" spans="1:7" ht="17.100000000000001" customHeight="1">
      <c r="A640" s="848"/>
      <c r="B640" s="860"/>
      <c r="C640" s="1437" t="s">
        <v>528</v>
      </c>
      <c r="D640" s="1435" t="s">
        <v>529</v>
      </c>
      <c r="E640" s="1431">
        <v>182830</v>
      </c>
      <c r="F640" s="1431">
        <v>156408</v>
      </c>
      <c r="G640" s="1432">
        <f t="shared" si="130"/>
        <v>0.85548323579281305</v>
      </c>
    </row>
    <row r="641" spans="1:7" ht="17.100000000000001" customHeight="1">
      <c r="A641" s="848"/>
      <c r="B641" s="860"/>
      <c r="C641" s="1437" t="s">
        <v>530</v>
      </c>
      <c r="D641" s="1435" t="s">
        <v>531</v>
      </c>
      <c r="E641" s="1431">
        <v>17000</v>
      </c>
      <c r="F641" s="1431">
        <v>22048</v>
      </c>
      <c r="G641" s="1432">
        <f t="shared" si="130"/>
        <v>1.2969411764705883</v>
      </c>
    </row>
    <row r="642" spans="1:7" hidden="1">
      <c r="A642" s="848"/>
      <c r="B642" s="860"/>
      <c r="C642" s="1437" t="s">
        <v>532</v>
      </c>
      <c r="D642" s="1435" t="s">
        <v>533</v>
      </c>
      <c r="E642" s="1431">
        <v>3000</v>
      </c>
      <c r="F642" s="1431">
        <v>0</v>
      </c>
      <c r="G642" s="1432">
        <f t="shared" si="130"/>
        <v>0</v>
      </c>
    </row>
    <row r="643" spans="1:7" ht="17.100000000000001" customHeight="1">
      <c r="A643" s="848"/>
      <c r="B643" s="860"/>
      <c r="C643" s="999"/>
      <c r="D643" s="999"/>
      <c r="E643" s="882"/>
      <c r="F643" s="882"/>
      <c r="G643" s="883"/>
    </row>
    <row r="644" spans="1:7" ht="17.100000000000001" customHeight="1">
      <c r="A644" s="848"/>
      <c r="B644" s="860"/>
      <c r="C644" s="3002" t="s">
        <v>534</v>
      </c>
      <c r="D644" s="3002"/>
      <c r="E644" s="1449">
        <f>SUM(E645:E646)</f>
        <v>21463</v>
      </c>
      <c r="F644" s="1449">
        <f>SUM(F645:F646)</f>
        <v>18868</v>
      </c>
      <c r="G644" s="1450">
        <f t="shared" si="130"/>
        <v>0.87909425522993057</v>
      </c>
    </row>
    <row r="645" spans="1:7" ht="17.100000000000001" hidden="1" customHeight="1">
      <c r="A645" s="848"/>
      <c r="B645" s="860"/>
      <c r="C645" s="1437" t="s">
        <v>535</v>
      </c>
      <c r="D645" s="1435" t="s">
        <v>536</v>
      </c>
      <c r="E645" s="1431">
        <v>21463</v>
      </c>
      <c r="F645" s="1431">
        <v>0</v>
      </c>
      <c r="G645" s="1432">
        <f t="shared" si="130"/>
        <v>0</v>
      </c>
    </row>
    <row r="646" spans="1:7" ht="17.100000000000001" customHeight="1" thickBot="1">
      <c r="A646" s="848"/>
      <c r="B646" s="860"/>
      <c r="C646" s="1036" t="s">
        <v>559</v>
      </c>
      <c r="D646" s="1037" t="s">
        <v>560</v>
      </c>
      <c r="E646" s="962">
        <v>0</v>
      </c>
      <c r="F646" s="962">
        <v>18868</v>
      </c>
      <c r="G646" s="963"/>
    </row>
    <row r="647" spans="1:7" ht="17.100000000000001" customHeight="1" thickBot="1">
      <c r="A647" s="848"/>
      <c r="B647" s="1072" t="s">
        <v>734</v>
      </c>
      <c r="C647" s="1073"/>
      <c r="D647" s="1074" t="s">
        <v>735</v>
      </c>
      <c r="E647" s="1075">
        <f>E648+E662</f>
        <v>1210000</v>
      </c>
      <c r="F647" s="1075">
        <f t="shared" ref="F647" si="135">F648+F662</f>
        <v>1091400</v>
      </c>
      <c r="G647" s="1076">
        <f t="shared" si="130"/>
        <v>0.90198347107438015</v>
      </c>
    </row>
    <row r="648" spans="1:7" ht="17.100000000000001" customHeight="1">
      <c r="A648" s="848"/>
      <c r="B648" s="860"/>
      <c r="C648" s="2802" t="s">
        <v>521</v>
      </c>
      <c r="D648" s="2802"/>
      <c r="E648" s="854">
        <f t="shared" ref="E648:F648" si="136">E649+E659</f>
        <v>1070000</v>
      </c>
      <c r="F648" s="854">
        <f t="shared" si="136"/>
        <v>1091400</v>
      </c>
      <c r="G648" s="855">
        <f t="shared" si="130"/>
        <v>1.02</v>
      </c>
    </row>
    <row r="649" spans="1:7" ht="17.100000000000001" customHeight="1">
      <c r="A649" s="848"/>
      <c r="B649" s="860"/>
      <c r="C649" s="2981" t="s">
        <v>522</v>
      </c>
      <c r="D649" s="2981"/>
      <c r="E649" s="1431">
        <f t="shared" ref="E649:F649" si="137">E650+E653</f>
        <v>170000</v>
      </c>
      <c r="F649" s="1431">
        <f t="shared" si="137"/>
        <v>191400</v>
      </c>
      <c r="G649" s="1432">
        <f t="shared" si="130"/>
        <v>1.1258823529411766</v>
      </c>
    </row>
    <row r="650" spans="1:7" ht="17.100000000000001" customHeight="1">
      <c r="A650" s="848"/>
      <c r="B650" s="860"/>
      <c r="C650" s="2987" t="s">
        <v>523</v>
      </c>
      <c r="D650" s="2987"/>
      <c r="E650" s="1449">
        <f t="shared" ref="E650:F650" si="138">E651</f>
        <v>5000</v>
      </c>
      <c r="F650" s="1449">
        <f t="shared" si="138"/>
        <v>5100</v>
      </c>
      <c r="G650" s="1450">
        <f t="shared" si="130"/>
        <v>1.02</v>
      </c>
    </row>
    <row r="651" spans="1:7" ht="17.100000000000001" customHeight="1">
      <c r="A651" s="848"/>
      <c r="B651" s="860"/>
      <c r="C651" s="1437" t="s">
        <v>532</v>
      </c>
      <c r="D651" s="1435" t="s">
        <v>533</v>
      </c>
      <c r="E651" s="1431">
        <v>5000</v>
      </c>
      <c r="F651" s="1431">
        <v>5100</v>
      </c>
      <c r="G651" s="1432">
        <f t="shared" si="130"/>
        <v>1.02</v>
      </c>
    </row>
    <row r="652" spans="1:7" ht="17.100000000000001" customHeight="1">
      <c r="A652" s="848"/>
      <c r="B652" s="860"/>
      <c r="C652" s="999"/>
      <c r="D652" s="999"/>
      <c r="E652" s="882"/>
      <c r="F652" s="882"/>
      <c r="G652" s="883"/>
    </row>
    <row r="653" spans="1:7" ht="17.100000000000001" customHeight="1">
      <c r="A653" s="848"/>
      <c r="B653" s="860"/>
      <c r="C653" s="3002" t="s">
        <v>534</v>
      </c>
      <c r="D653" s="3002"/>
      <c r="E653" s="1449">
        <f t="shared" ref="E653:F653" si="139">SUM(E654:E657)</f>
        <v>165000</v>
      </c>
      <c r="F653" s="1449">
        <f t="shared" si="139"/>
        <v>186300</v>
      </c>
      <c r="G653" s="1450">
        <f t="shared" si="130"/>
        <v>1.1290909090909091</v>
      </c>
    </row>
    <row r="654" spans="1:7" ht="17.100000000000001" customHeight="1">
      <c r="A654" s="848"/>
      <c r="B654" s="860"/>
      <c r="C654" s="1437" t="s">
        <v>537</v>
      </c>
      <c r="D654" s="1435" t="s">
        <v>538</v>
      </c>
      <c r="E654" s="1431">
        <v>40000</v>
      </c>
      <c r="F654" s="1431">
        <v>51300</v>
      </c>
      <c r="G654" s="1432">
        <f t="shared" si="130"/>
        <v>1.2825</v>
      </c>
    </row>
    <row r="655" spans="1:7" ht="17.100000000000001" customHeight="1">
      <c r="A655" s="848"/>
      <c r="B655" s="860"/>
      <c r="C655" s="1437" t="s">
        <v>539</v>
      </c>
      <c r="D655" s="1435" t="s">
        <v>540</v>
      </c>
      <c r="E655" s="1431">
        <v>24438</v>
      </c>
      <c r="F655" s="1431">
        <v>10000</v>
      </c>
      <c r="G655" s="1432">
        <f t="shared" si="130"/>
        <v>0.40919878877158522</v>
      </c>
    </row>
    <row r="656" spans="1:7" ht="17.100000000000001" customHeight="1">
      <c r="A656" s="848"/>
      <c r="B656" s="860"/>
      <c r="C656" s="1437" t="s">
        <v>547</v>
      </c>
      <c r="D656" s="1435" t="s">
        <v>548</v>
      </c>
      <c r="E656" s="1431">
        <v>95562</v>
      </c>
      <c r="F656" s="1431">
        <v>120000</v>
      </c>
      <c r="G656" s="1432">
        <f t="shared" si="130"/>
        <v>1.2557292647705154</v>
      </c>
    </row>
    <row r="657" spans="1:7" ht="17.100000000000001" customHeight="1">
      <c r="A657" s="848"/>
      <c r="B657" s="860"/>
      <c r="C657" s="1437" t="s">
        <v>549</v>
      </c>
      <c r="D657" s="1435" t="s">
        <v>550</v>
      </c>
      <c r="E657" s="1431">
        <v>5000</v>
      </c>
      <c r="F657" s="1431">
        <v>5000</v>
      </c>
      <c r="G657" s="1432">
        <f t="shared" si="130"/>
        <v>1</v>
      </c>
    </row>
    <row r="658" spans="1:7" ht="17.100000000000001" customHeight="1">
      <c r="A658" s="848"/>
      <c r="B658" s="860"/>
      <c r="C658" s="1258"/>
      <c r="D658" s="1451"/>
      <c r="E658" s="1260"/>
      <c r="F658" s="1260"/>
      <c r="G658" s="1232"/>
    </row>
    <row r="659" spans="1:7" ht="17.100000000000001" customHeight="1">
      <c r="A659" s="848"/>
      <c r="B659" s="860"/>
      <c r="C659" s="2828" t="s">
        <v>571</v>
      </c>
      <c r="D659" s="2828"/>
      <c r="E659" s="1190">
        <f t="shared" ref="E659:F659" si="140">E660</f>
        <v>900000</v>
      </c>
      <c r="F659" s="1190">
        <f t="shared" si="140"/>
        <v>900000</v>
      </c>
      <c r="G659" s="1191">
        <f t="shared" si="130"/>
        <v>1</v>
      </c>
    </row>
    <row r="660" spans="1:7" ht="17.100000000000001" customHeight="1" thickBot="1">
      <c r="A660" s="848"/>
      <c r="B660" s="860"/>
      <c r="C660" s="1438" t="s">
        <v>736</v>
      </c>
      <c r="D660" s="1439" t="s">
        <v>737</v>
      </c>
      <c r="E660" s="1452">
        <v>900000</v>
      </c>
      <c r="F660" s="1452">
        <v>900000</v>
      </c>
      <c r="G660" s="1453">
        <f t="shared" si="130"/>
        <v>1</v>
      </c>
    </row>
    <row r="661" spans="1:7" ht="17.100000000000001" hidden="1" customHeight="1" thickBot="1">
      <c r="A661" s="848"/>
      <c r="B661" s="860"/>
      <c r="C661" s="3003"/>
      <c r="D661" s="3004"/>
      <c r="E661" s="1452"/>
      <c r="F661" s="1452"/>
      <c r="G661" s="1453"/>
    </row>
    <row r="662" spans="1:7" ht="17.100000000000001" hidden="1" customHeight="1">
      <c r="A662" s="848"/>
      <c r="B662" s="860"/>
      <c r="C662" s="2997" t="s">
        <v>574</v>
      </c>
      <c r="D662" s="2998"/>
      <c r="E662" s="1442">
        <f>E663</f>
        <v>140000</v>
      </c>
      <c r="F662" s="1442">
        <f t="shared" ref="F662" si="141">F663</f>
        <v>0</v>
      </c>
      <c r="G662" s="1443">
        <f t="shared" si="130"/>
        <v>0</v>
      </c>
    </row>
    <row r="663" spans="1:7" ht="17.100000000000001" hidden="1" customHeight="1">
      <c r="A663" s="848"/>
      <c r="B663" s="860"/>
      <c r="C663" s="2999" t="s">
        <v>575</v>
      </c>
      <c r="D663" s="3000"/>
      <c r="E663" s="1444">
        <f>SUM(E664)</f>
        <v>140000</v>
      </c>
      <c r="F663" s="1444">
        <f t="shared" ref="F663" si="142">SUM(F664)</f>
        <v>0</v>
      </c>
      <c r="G663" s="1432">
        <f t="shared" si="130"/>
        <v>0</v>
      </c>
    </row>
    <row r="664" spans="1:7" ht="17.100000000000001" hidden="1" customHeight="1" thickBot="1">
      <c r="A664" s="848"/>
      <c r="B664" s="860"/>
      <c r="C664" s="1454" t="s">
        <v>576</v>
      </c>
      <c r="D664" s="1455" t="s">
        <v>622</v>
      </c>
      <c r="E664" s="1456">
        <v>140000</v>
      </c>
      <c r="F664" s="1456">
        <v>0</v>
      </c>
      <c r="G664" s="1453">
        <f t="shared" si="130"/>
        <v>0</v>
      </c>
    </row>
    <row r="665" spans="1:7" ht="17.100000000000001" customHeight="1" thickBot="1">
      <c r="A665" s="848"/>
      <c r="B665" s="1072" t="s">
        <v>738</v>
      </c>
      <c r="C665" s="1073"/>
      <c r="D665" s="1074" t="s">
        <v>343</v>
      </c>
      <c r="E665" s="1075">
        <f>E666+E742</f>
        <v>115967420</v>
      </c>
      <c r="F665" s="1075">
        <f t="shared" ref="F665" si="143">F666+F742</f>
        <v>112276736</v>
      </c>
      <c r="G665" s="1076">
        <f t="shared" si="130"/>
        <v>0.96817482013482747</v>
      </c>
    </row>
    <row r="666" spans="1:7" ht="17.100000000000001" customHeight="1">
      <c r="A666" s="848"/>
      <c r="B666" s="860"/>
      <c r="C666" s="2804" t="s">
        <v>739</v>
      </c>
      <c r="D666" s="2804"/>
      <c r="E666" s="854">
        <f>E667+E698+E701</f>
        <v>86508720</v>
      </c>
      <c r="F666" s="854">
        <f>F667+F698+F701</f>
        <v>93235327</v>
      </c>
      <c r="G666" s="855">
        <f t="shared" si="130"/>
        <v>1.0777564042098877</v>
      </c>
    </row>
    <row r="667" spans="1:7" ht="17.100000000000001" customHeight="1">
      <c r="A667" s="848"/>
      <c r="B667" s="860"/>
      <c r="C667" s="2981" t="s">
        <v>522</v>
      </c>
      <c r="D667" s="2981"/>
      <c r="E667" s="1190">
        <f>E668+E675</f>
        <v>51688356</v>
      </c>
      <c r="F667" s="1190">
        <f>F668+F675</f>
        <v>56134368</v>
      </c>
      <c r="G667" s="1191">
        <f t="shared" si="130"/>
        <v>1.0860157363101275</v>
      </c>
    </row>
    <row r="668" spans="1:7" ht="17.100000000000001" customHeight="1">
      <c r="A668" s="848"/>
      <c r="B668" s="860"/>
      <c r="C668" s="2987" t="s">
        <v>523</v>
      </c>
      <c r="D668" s="2987"/>
      <c r="E668" s="1278">
        <f t="shared" ref="E668" si="144">SUM(E669:E673)</f>
        <v>42707726</v>
      </c>
      <c r="F668" s="1278">
        <f>SUM(F669:F673)</f>
        <v>45075965</v>
      </c>
      <c r="G668" s="1279">
        <f t="shared" si="130"/>
        <v>1.0554522383139762</v>
      </c>
    </row>
    <row r="669" spans="1:7" ht="17.100000000000001" customHeight="1">
      <c r="A669" s="848"/>
      <c r="B669" s="860"/>
      <c r="C669" s="1437" t="s">
        <v>524</v>
      </c>
      <c r="D669" s="1435" t="s">
        <v>525</v>
      </c>
      <c r="E669" s="1431">
        <v>33175397</v>
      </c>
      <c r="F669" s="1431">
        <v>35252349</v>
      </c>
      <c r="G669" s="1432">
        <f t="shared" si="130"/>
        <v>1.0626051890200441</v>
      </c>
    </row>
    <row r="670" spans="1:7" ht="17.100000000000001" customHeight="1">
      <c r="A670" s="848"/>
      <c r="B670" s="860"/>
      <c r="C670" s="1437" t="s">
        <v>526</v>
      </c>
      <c r="D670" s="1435" t="s">
        <v>527</v>
      </c>
      <c r="E670" s="1431">
        <v>2525906</v>
      </c>
      <c r="F670" s="1431">
        <v>2759463</v>
      </c>
      <c r="G670" s="1432">
        <f t="shared" si="130"/>
        <v>1.0924646443691888</v>
      </c>
    </row>
    <row r="671" spans="1:7" ht="17.100000000000001" customHeight="1">
      <c r="A671" s="848"/>
      <c r="B671" s="860"/>
      <c r="C671" s="1437" t="s">
        <v>528</v>
      </c>
      <c r="D671" s="1435" t="s">
        <v>529</v>
      </c>
      <c r="E671" s="1431">
        <v>6096956</v>
      </c>
      <c r="F671" s="1431">
        <v>6147554</v>
      </c>
      <c r="G671" s="1432">
        <f t="shared" si="130"/>
        <v>1.0082988953832044</v>
      </c>
    </row>
    <row r="672" spans="1:7" ht="17.100000000000001" customHeight="1">
      <c r="A672" s="848"/>
      <c r="B672" s="860"/>
      <c r="C672" s="1437" t="s">
        <v>530</v>
      </c>
      <c r="D672" s="1435" t="s">
        <v>531</v>
      </c>
      <c r="E672" s="1431">
        <v>859467</v>
      </c>
      <c r="F672" s="1431">
        <v>866599</v>
      </c>
      <c r="G672" s="1432">
        <f t="shared" si="130"/>
        <v>1.0082981661890451</v>
      </c>
    </row>
    <row r="673" spans="1:7" ht="17.100000000000001" customHeight="1">
      <c r="A673" s="848"/>
      <c r="B673" s="860"/>
      <c r="C673" s="1437" t="s">
        <v>532</v>
      </c>
      <c r="D673" s="1435" t="s">
        <v>533</v>
      </c>
      <c r="E673" s="1431">
        <v>50000</v>
      </c>
      <c r="F673" s="1431">
        <v>50000</v>
      </c>
      <c r="G673" s="1432">
        <f t="shared" si="130"/>
        <v>1</v>
      </c>
    </row>
    <row r="674" spans="1:7" ht="17.100000000000001" customHeight="1">
      <c r="A674" s="848"/>
      <c r="B674" s="860"/>
      <c r="C674" s="999"/>
      <c r="D674" s="999"/>
      <c r="E674" s="882"/>
      <c r="F674" s="882"/>
      <c r="G674" s="883"/>
    </row>
    <row r="675" spans="1:7" ht="17.100000000000001" customHeight="1">
      <c r="A675" s="848"/>
      <c r="B675" s="860"/>
      <c r="C675" s="3001" t="s">
        <v>534</v>
      </c>
      <c r="D675" s="3001"/>
      <c r="E675" s="1449">
        <f t="shared" ref="E675" si="145">SUM(E676:E696)</f>
        <v>8980630</v>
      </c>
      <c r="F675" s="1449">
        <f>SUM(F676:F696)</f>
        <v>11058403</v>
      </c>
      <c r="G675" s="1450">
        <f t="shared" si="130"/>
        <v>1.2313616082613359</v>
      </c>
    </row>
    <row r="676" spans="1:7" ht="17.100000000000001" customHeight="1">
      <c r="A676" s="848"/>
      <c r="B676" s="860"/>
      <c r="C676" s="1457" t="s">
        <v>535</v>
      </c>
      <c r="D676" s="1435" t="s">
        <v>536</v>
      </c>
      <c r="E676" s="1190">
        <v>495000</v>
      </c>
      <c r="F676" s="1190">
        <v>495000</v>
      </c>
      <c r="G676" s="1191">
        <f t="shared" si="130"/>
        <v>1</v>
      </c>
    </row>
    <row r="677" spans="1:7" ht="17.100000000000001" customHeight="1">
      <c r="A677" s="848"/>
      <c r="B677" s="860"/>
      <c r="C677" s="1437" t="s">
        <v>537</v>
      </c>
      <c r="D677" s="1435" t="s">
        <v>538</v>
      </c>
      <c r="E677" s="1190">
        <f>2380000+30000</f>
        <v>2410000</v>
      </c>
      <c r="F677" s="1190">
        <f>2809097+25000</f>
        <v>2834097</v>
      </c>
      <c r="G677" s="1191">
        <f t="shared" si="130"/>
        <v>1.1759738589211619</v>
      </c>
    </row>
    <row r="678" spans="1:7" ht="17.100000000000001" customHeight="1">
      <c r="A678" s="848"/>
      <c r="B678" s="860"/>
      <c r="C678" s="1437" t="s">
        <v>539</v>
      </c>
      <c r="D678" s="1435" t="s">
        <v>540</v>
      </c>
      <c r="E678" s="1190">
        <v>80000</v>
      </c>
      <c r="F678" s="1190">
        <v>80000</v>
      </c>
      <c r="G678" s="1191">
        <f t="shared" si="130"/>
        <v>1</v>
      </c>
    </row>
    <row r="679" spans="1:7" ht="17.100000000000001" customHeight="1">
      <c r="A679" s="848"/>
      <c r="B679" s="860"/>
      <c r="C679" s="1437" t="s">
        <v>541</v>
      </c>
      <c r="D679" s="1435" t="s">
        <v>542</v>
      </c>
      <c r="E679" s="1190">
        <v>1225000</v>
      </c>
      <c r="F679" s="1190">
        <v>1825000</v>
      </c>
      <c r="G679" s="1191">
        <f t="shared" si="130"/>
        <v>1.489795918367347</v>
      </c>
    </row>
    <row r="680" spans="1:7" ht="17.100000000000001" customHeight="1">
      <c r="A680" s="848"/>
      <c r="B680" s="860"/>
      <c r="C680" s="1437" t="s">
        <v>543</v>
      </c>
      <c r="D680" s="1435" t="s">
        <v>544</v>
      </c>
      <c r="E680" s="1190">
        <v>521500</v>
      </c>
      <c r="F680" s="1190">
        <v>741500</v>
      </c>
      <c r="G680" s="1191">
        <f t="shared" si="130"/>
        <v>1.4218600191754553</v>
      </c>
    </row>
    <row r="681" spans="1:7" ht="17.100000000000001" customHeight="1">
      <c r="A681" s="848"/>
      <c r="B681" s="860"/>
      <c r="C681" s="1437" t="s">
        <v>545</v>
      </c>
      <c r="D681" s="1435" t="s">
        <v>546</v>
      </c>
      <c r="E681" s="1190">
        <v>60000</v>
      </c>
      <c r="F681" s="1190">
        <v>60000</v>
      </c>
      <c r="G681" s="1191">
        <f t="shared" si="130"/>
        <v>1</v>
      </c>
    </row>
    <row r="682" spans="1:7" ht="17.100000000000001" customHeight="1">
      <c r="A682" s="848"/>
      <c r="B682" s="860"/>
      <c r="C682" s="1437" t="s">
        <v>547</v>
      </c>
      <c r="D682" s="1435" t="s">
        <v>548</v>
      </c>
      <c r="E682" s="1190">
        <f>1311650+50000</f>
        <v>1361650</v>
      </c>
      <c r="F682" s="1190">
        <f>1461650+690000+45000</f>
        <v>2196650</v>
      </c>
      <c r="G682" s="1191">
        <f t="shared" si="130"/>
        <v>1.6132266000807844</v>
      </c>
    </row>
    <row r="683" spans="1:7" ht="16.5" customHeight="1">
      <c r="A683" s="848"/>
      <c r="B683" s="860"/>
      <c r="C683" s="1437" t="s">
        <v>549</v>
      </c>
      <c r="D683" s="1435" t="s">
        <v>550</v>
      </c>
      <c r="E683" s="1190">
        <v>165000</v>
      </c>
      <c r="F683" s="1190">
        <v>190000</v>
      </c>
      <c r="G683" s="1191">
        <f t="shared" si="130"/>
        <v>1.1515151515151516</v>
      </c>
    </row>
    <row r="684" spans="1:7" ht="17.100000000000001" customHeight="1">
      <c r="A684" s="848"/>
      <c r="B684" s="860"/>
      <c r="C684" s="1437" t="s">
        <v>740</v>
      </c>
      <c r="D684" s="1435" t="s">
        <v>701</v>
      </c>
      <c r="E684" s="1190">
        <v>10000</v>
      </c>
      <c r="F684" s="1190">
        <v>10000</v>
      </c>
      <c r="G684" s="1191">
        <f t="shared" ref="G684:G747" si="146">F684/E684</f>
        <v>1</v>
      </c>
    </row>
    <row r="685" spans="1:7" ht="17.100000000000001" customHeight="1">
      <c r="A685" s="848"/>
      <c r="B685" s="860"/>
      <c r="C685" s="1437" t="s">
        <v>551</v>
      </c>
      <c r="D685" s="1435" t="s">
        <v>552</v>
      </c>
      <c r="E685" s="1190">
        <v>60000</v>
      </c>
      <c r="F685" s="1190">
        <v>60000</v>
      </c>
      <c r="G685" s="1191">
        <f t="shared" si="146"/>
        <v>1</v>
      </c>
    </row>
    <row r="686" spans="1:7" ht="24.75" customHeight="1">
      <c r="A686" s="848"/>
      <c r="B686" s="860"/>
      <c r="C686" s="1437" t="s">
        <v>553</v>
      </c>
      <c r="D686" s="1435" t="s">
        <v>554</v>
      </c>
      <c r="E686" s="1190">
        <v>60000</v>
      </c>
      <c r="F686" s="1190">
        <v>60000</v>
      </c>
      <c r="G686" s="1191">
        <f t="shared" si="146"/>
        <v>1</v>
      </c>
    </row>
    <row r="687" spans="1:7" ht="17.100000000000001" customHeight="1">
      <c r="A687" s="848"/>
      <c r="B687" s="860"/>
      <c r="C687" s="1437" t="s">
        <v>555</v>
      </c>
      <c r="D687" s="1435" t="s">
        <v>556</v>
      </c>
      <c r="E687" s="1190">
        <v>150000</v>
      </c>
      <c r="F687" s="1190">
        <v>150000</v>
      </c>
      <c r="G687" s="1191">
        <f t="shared" si="146"/>
        <v>1</v>
      </c>
    </row>
    <row r="688" spans="1:7" ht="17.100000000000001" customHeight="1">
      <c r="A688" s="848"/>
      <c r="B688" s="860"/>
      <c r="C688" s="1437" t="s">
        <v>683</v>
      </c>
      <c r="D688" s="1435" t="s">
        <v>684</v>
      </c>
      <c r="E688" s="1190">
        <v>257000</v>
      </c>
      <c r="F688" s="1190">
        <v>250000</v>
      </c>
      <c r="G688" s="1191">
        <f t="shared" si="146"/>
        <v>0.97276264591439687</v>
      </c>
    </row>
    <row r="689" spans="1:7" ht="17.100000000000001" customHeight="1">
      <c r="A689" s="848"/>
      <c r="B689" s="860"/>
      <c r="C689" s="1437" t="s">
        <v>557</v>
      </c>
      <c r="D689" s="1435" t="s">
        <v>558</v>
      </c>
      <c r="E689" s="1190">
        <v>150000</v>
      </c>
      <c r="F689" s="1190">
        <v>150000</v>
      </c>
      <c r="G689" s="1191">
        <f t="shared" si="146"/>
        <v>1</v>
      </c>
    </row>
    <row r="690" spans="1:7" ht="17.100000000000001" customHeight="1">
      <c r="A690" s="848"/>
      <c r="B690" s="860"/>
      <c r="C690" s="1437" t="s">
        <v>559</v>
      </c>
      <c r="D690" s="1435" t="s">
        <v>560</v>
      </c>
      <c r="E690" s="1190">
        <v>1395480</v>
      </c>
      <c r="F690" s="1190">
        <v>1376156</v>
      </c>
      <c r="G690" s="1191">
        <f t="shared" si="146"/>
        <v>0.98615243500444294</v>
      </c>
    </row>
    <row r="691" spans="1:7" ht="17.100000000000001" customHeight="1">
      <c r="A691" s="848"/>
      <c r="B691" s="860"/>
      <c r="C691" s="1437" t="s">
        <v>563</v>
      </c>
      <c r="D691" s="1435" t="s">
        <v>564</v>
      </c>
      <c r="E691" s="1190">
        <v>10000</v>
      </c>
      <c r="F691" s="1190">
        <v>10000</v>
      </c>
      <c r="G691" s="1191">
        <f t="shared" si="146"/>
        <v>1</v>
      </c>
    </row>
    <row r="692" spans="1:7" ht="17.100000000000001" customHeight="1">
      <c r="A692" s="848"/>
      <c r="B692" s="860"/>
      <c r="C692" s="1437" t="s">
        <v>565</v>
      </c>
      <c r="D692" s="1435" t="s">
        <v>566</v>
      </c>
      <c r="E692" s="1190">
        <v>170000</v>
      </c>
      <c r="F692" s="1190">
        <v>170000</v>
      </c>
      <c r="G692" s="1191">
        <f t="shared" si="146"/>
        <v>1</v>
      </c>
    </row>
    <row r="693" spans="1:7" ht="17.100000000000001" customHeight="1">
      <c r="A693" s="848"/>
      <c r="B693" s="860"/>
      <c r="C693" s="1438" t="s">
        <v>567</v>
      </c>
      <c r="D693" s="1439" t="s">
        <v>568</v>
      </c>
      <c r="E693" s="1190">
        <v>99446</v>
      </c>
      <c r="F693" s="1190">
        <v>100000</v>
      </c>
      <c r="G693" s="1191">
        <f t="shared" si="146"/>
        <v>1.0055708625786859</v>
      </c>
    </row>
    <row r="694" spans="1:7" ht="17.100000000000001" hidden="1" customHeight="1">
      <c r="A694" s="848"/>
      <c r="B694" s="860"/>
      <c r="C694" s="1438" t="s">
        <v>669</v>
      </c>
      <c r="D694" s="1439" t="s">
        <v>670</v>
      </c>
      <c r="E694" s="1190">
        <v>554</v>
      </c>
      <c r="F694" s="1190">
        <v>0</v>
      </c>
      <c r="G694" s="1191">
        <f t="shared" si="146"/>
        <v>0</v>
      </c>
    </row>
    <row r="695" spans="1:7" ht="17.100000000000001" customHeight="1">
      <c r="A695" s="848"/>
      <c r="B695" s="860"/>
      <c r="C695" s="1438" t="s">
        <v>631</v>
      </c>
      <c r="D695" s="1439" t="s">
        <v>632</v>
      </c>
      <c r="E695" s="1190">
        <v>100000</v>
      </c>
      <c r="F695" s="1190">
        <v>100000</v>
      </c>
      <c r="G695" s="1191">
        <f t="shared" si="146"/>
        <v>1</v>
      </c>
    </row>
    <row r="696" spans="1:7" ht="17.100000000000001" customHeight="1">
      <c r="A696" s="848"/>
      <c r="B696" s="860"/>
      <c r="C696" s="1457" t="s">
        <v>569</v>
      </c>
      <c r="D696" s="1458" t="s">
        <v>570</v>
      </c>
      <c r="E696" s="1190">
        <v>200000</v>
      </c>
      <c r="F696" s="1190">
        <v>200000</v>
      </c>
      <c r="G696" s="1191">
        <f t="shared" si="146"/>
        <v>1</v>
      </c>
    </row>
    <row r="697" spans="1:7" ht="17.100000000000001" customHeight="1">
      <c r="A697" s="848"/>
      <c r="B697" s="860"/>
      <c r="C697" s="999"/>
      <c r="D697" s="999"/>
      <c r="E697" s="882"/>
      <c r="F697" s="882"/>
      <c r="G697" s="883"/>
    </row>
    <row r="698" spans="1:7" ht="17.100000000000001" customHeight="1">
      <c r="A698" s="848"/>
      <c r="B698" s="860"/>
      <c r="C698" s="2980" t="s">
        <v>571</v>
      </c>
      <c r="D698" s="2980"/>
      <c r="E698" s="1431">
        <f t="shared" ref="E698:F698" si="147">E699</f>
        <v>95000</v>
      </c>
      <c r="F698" s="1431">
        <f t="shared" si="147"/>
        <v>70000</v>
      </c>
      <c r="G698" s="1432">
        <f t="shared" si="146"/>
        <v>0.73684210526315785</v>
      </c>
    </row>
    <row r="699" spans="1:7" ht="17.100000000000001" customHeight="1">
      <c r="A699" s="848"/>
      <c r="B699" s="860"/>
      <c r="C699" s="1057" t="s">
        <v>572</v>
      </c>
      <c r="D699" s="1058" t="s">
        <v>573</v>
      </c>
      <c r="E699" s="1190">
        <v>95000</v>
      </c>
      <c r="F699" s="1190">
        <v>70000</v>
      </c>
      <c r="G699" s="1191">
        <f t="shared" si="146"/>
        <v>0.73684210526315785</v>
      </c>
    </row>
    <row r="700" spans="1:7" ht="17.100000000000001" customHeight="1">
      <c r="A700" s="848"/>
      <c r="B700" s="860"/>
      <c r="C700" s="1258"/>
      <c r="D700" s="1451"/>
      <c r="E700" s="1260"/>
      <c r="F700" s="1260"/>
      <c r="G700" s="1232"/>
    </row>
    <row r="701" spans="1:7" ht="17.100000000000001" customHeight="1">
      <c r="A701" s="848"/>
      <c r="B701" s="860"/>
      <c r="C701" s="2993" t="s">
        <v>587</v>
      </c>
      <c r="D701" s="2994"/>
      <c r="E701" s="1190">
        <f>SUM(E702:E740)</f>
        <v>34725364</v>
      </c>
      <c r="F701" s="1190">
        <f>SUM(F702:F740)</f>
        <v>37030959</v>
      </c>
      <c r="G701" s="1191">
        <f t="shared" si="146"/>
        <v>1.066395128356322</v>
      </c>
    </row>
    <row r="702" spans="1:7" ht="17.100000000000001" customHeight="1">
      <c r="A702" s="848"/>
      <c r="B702" s="860"/>
      <c r="C702" s="1459" t="s">
        <v>741</v>
      </c>
      <c r="D702" s="1058" t="s">
        <v>573</v>
      </c>
      <c r="E702" s="1431">
        <v>21250</v>
      </c>
      <c r="F702" s="1431">
        <v>21250</v>
      </c>
      <c r="G702" s="1432">
        <f t="shared" si="146"/>
        <v>1</v>
      </c>
    </row>
    <row r="703" spans="1:7" ht="17.100000000000001" customHeight="1">
      <c r="A703" s="848"/>
      <c r="B703" s="860"/>
      <c r="C703" s="1460" t="s">
        <v>742</v>
      </c>
      <c r="D703" s="1037" t="s">
        <v>573</v>
      </c>
      <c r="E703" s="1431">
        <v>3750</v>
      </c>
      <c r="F703" s="1431">
        <v>3750</v>
      </c>
      <c r="G703" s="1432">
        <f t="shared" si="146"/>
        <v>1</v>
      </c>
    </row>
    <row r="704" spans="1:7" ht="17.100000000000001" customHeight="1">
      <c r="A704" s="848"/>
      <c r="B704" s="860"/>
      <c r="C704" s="1461" t="s">
        <v>743</v>
      </c>
      <c r="D704" s="1458" t="s">
        <v>744</v>
      </c>
      <c r="E704" s="1431">
        <v>25500</v>
      </c>
      <c r="F704" s="1431">
        <v>10200</v>
      </c>
      <c r="G704" s="1432">
        <f t="shared" si="146"/>
        <v>0.4</v>
      </c>
    </row>
    <row r="705" spans="1:7" ht="17.100000000000001" customHeight="1">
      <c r="A705" s="848"/>
      <c r="B705" s="860"/>
      <c r="C705" s="1461" t="s">
        <v>745</v>
      </c>
      <c r="D705" s="1458" t="s">
        <v>744</v>
      </c>
      <c r="E705" s="1431">
        <v>4500</v>
      </c>
      <c r="F705" s="1431">
        <v>1800</v>
      </c>
      <c r="G705" s="1432">
        <f t="shared" si="146"/>
        <v>0.4</v>
      </c>
    </row>
    <row r="706" spans="1:7" ht="17.100000000000001" customHeight="1">
      <c r="A706" s="848"/>
      <c r="B706" s="860"/>
      <c r="C706" s="1057" t="s">
        <v>591</v>
      </c>
      <c r="D706" s="1058" t="s">
        <v>525</v>
      </c>
      <c r="E706" s="1431">
        <v>17436835</v>
      </c>
      <c r="F706" s="1431">
        <v>18688873</v>
      </c>
      <c r="G706" s="1432">
        <f t="shared" si="146"/>
        <v>1.0718042007050017</v>
      </c>
    </row>
    <row r="707" spans="1:7" ht="17.100000000000001" customHeight="1">
      <c r="A707" s="848"/>
      <c r="B707" s="860"/>
      <c r="C707" s="1437" t="s">
        <v>592</v>
      </c>
      <c r="D707" s="1435" t="s">
        <v>525</v>
      </c>
      <c r="E707" s="1431">
        <v>3077089</v>
      </c>
      <c r="F707" s="1431">
        <v>3298037</v>
      </c>
      <c r="G707" s="1432">
        <f t="shared" si="146"/>
        <v>1.0718042279570075</v>
      </c>
    </row>
    <row r="708" spans="1:7" ht="17.100000000000001" customHeight="1">
      <c r="A708" s="848"/>
      <c r="B708" s="860"/>
      <c r="C708" s="1437" t="s">
        <v>593</v>
      </c>
      <c r="D708" s="1435" t="s">
        <v>527</v>
      </c>
      <c r="E708" s="1431">
        <v>1107282</v>
      </c>
      <c r="F708" s="1431">
        <v>1276809</v>
      </c>
      <c r="G708" s="1432">
        <f t="shared" si="146"/>
        <v>1.1531019198361394</v>
      </c>
    </row>
    <row r="709" spans="1:7" ht="17.100000000000001" customHeight="1">
      <c r="A709" s="848"/>
      <c r="B709" s="860"/>
      <c r="C709" s="1437" t="s">
        <v>594</v>
      </c>
      <c r="D709" s="1435" t="s">
        <v>527</v>
      </c>
      <c r="E709" s="1431">
        <v>195401</v>
      </c>
      <c r="F709" s="1431">
        <v>225319</v>
      </c>
      <c r="G709" s="1432">
        <f t="shared" si="146"/>
        <v>1.1531107824422597</v>
      </c>
    </row>
    <row r="710" spans="1:7" ht="17.100000000000001" customHeight="1">
      <c r="A710" s="848"/>
      <c r="B710" s="860"/>
      <c r="C710" s="1437" t="s">
        <v>595</v>
      </c>
      <c r="D710" s="1435" t="s">
        <v>529</v>
      </c>
      <c r="E710" s="1431">
        <v>3248093</v>
      </c>
      <c r="F710" s="1431">
        <v>3491252</v>
      </c>
      <c r="G710" s="1432">
        <f t="shared" si="146"/>
        <v>1.074862080611608</v>
      </c>
    </row>
    <row r="711" spans="1:7" ht="17.100000000000001" customHeight="1">
      <c r="A711" s="848"/>
      <c r="B711" s="860"/>
      <c r="C711" s="1437" t="s">
        <v>596</v>
      </c>
      <c r="D711" s="1435" t="s">
        <v>529</v>
      </c>
      <c r="E711" s="1431">
        <v>573194</v>
      </c>
      <c r="F711" s="1431">
        <v>616103</v>
      </c>
      <c r="G711" s="1432">
        <f t="shared" si="146"/>
        <v>1.0748594716622992</v>
      </c>
    </row>
    <row r="712" spans="1:7" ht="17.100000000000001" customHeight="1">
      <c r="A712" s="848"/>
      <c r="B712" s="860"/>
      <c r="C712" s="1437" t="s">
        <v>597</v>
      </c>
      <c r="D712" s="1435" t="s">
        <v>531</v>
      </c>
      <c r="E712" s="1431">
        <v>457696</v>
      </c>
      <c r="F712" s="1431">
        <v>491693</v>
      </c>
      <c r="G712" s="1432">
        <f t="shared" si="146"/>
        <v>1.0742785604418654</v>
      </c>
    </row>
    <row r="713" spans="1:7" ht="17.100000000000001" customHeight="1">
      <c r="A713" s="848"/>
      <c r="B713" s="860"/>
      <c r="C713" s="1437" t="s">
        <v>598</v>
      </c>
      <c r="D713" s="1435" t="s">
        <v>531</v>
      </c>
      <c r="E713" s="1431">
        <v>80770</v>
      </c>
      <c r="F713" s="1431">
        <v>86769</v>
      </c>
      <c r="G713" s="1432">
        <f t="shared" si="146"/>
        <v>1.0742726259749906</v>
      </c>
    </row>
    <row r="714" spans="1:7" ht="17.100000000000001" customHeight="1">
      <c r="A714" s="848"/>
      <c r="B714" s="860"/>
      <c r="C714" s="1437" t="s">
        <v>599</v>
      </c>
      <c r="D714" s="1435" t="s">
        <v>533</v>
      </c>
      <c r="E714" s="1431">
        <f>1600975+382500+63750</f>
        <v>2047225</v>
      </c>
      <c r="F714" s="1431">
        <f>1280950+382500+63750</f>
        <v>1727200</v>
      </c>
      <c r="G714" s="1432">
        <f t="shared" si="146"/>
        <v>0.84367863815652899</v>
      </c>
    </row>
    <row r="715" spans="1:7" ht="17.100000000000001" customHeight="1">
      <c r="A715" s="848"/>
      <c r="B715" s="860"/>
      <c r="C715" s="1437" t="s">
        <v>600</v>
      </c>
      <c r="D715" s="1435" t="s">
        <v>533</v>
      </c>
      <c r="E715" s="1431">
        <f>282525+67500+11250</f>
        <v>361275</v>
      </c>
      <c r="F715" s="1431">
        <f>226050+67500+11250</f>
        <v>304800</v>
      </c>
      <c r="G715" s="1432">
        <f t="shared" si="146"/>
        <v>0.84367863815652899</v>
      </c>
    </row>
    <row r="716" spans="1:7" ht="17.100000000000001" customHeight="1">
      <c r="A716" s="848"/>
      <c r="B716" s="860"/>
      <c r="C716" s="1437" t="s">
        <v>604</v>
      </c>
      <c r="D716" s="1435" t="s">
        <v>538</v>
      </c>
      <c r="E716" s="1431">
        <f>1139000+102000</f>
        <v>1241000</v>
      </c>
      <c r="F716" s="1431">
        <f>1020000+102000</f>
        <v>1122000</v>
      </c>
      <c r="G716" s="1432">
        <f t="shared" si="146"/>
        <v>0.90410958904109584</v>
      </c>
    </row>
    <row r="717" spans="1:7" ht="17.100000000000001" customHeight="1">
      <c r="A717" s="848"/>
      <c r="B717" s="860"/>
      <c r="C717" s="1437" t="s">
        <v>605</v>
      </c>
      <c r="D717" s="1435" t="s">
        <v>538</v>
      </c>
      <c r="E717" s="1431">
        <f>201000+18000</f>
        <v>219000</v>
      </c>
      <c r="F717" s="1431">
        <f>180000+18000</f>
        <v>198000</v>
      </c>
      <c r="G717" s="1432">
        <f t="shared" si="146"/>
        <v>0.90410958904109584</v>
      </c>
    </row>
    <row r="718" spans="1:7" ht="17.100000000000001" customHeight="1">
      <c r="A718" s="848"/>
      <c r="B718" s="860"/>
      <c r="C718" s="1437" t="s">
        <v>746</v>
      </c>
      <c r="D718" s="1435" t="s">
        <v>542</v>
      </c>
      <c r="E718" s="1431">
        <v>289000</v>
      </c>
      <c r="F718" s="1431">
        <v>289000</v>
      </c>
      <c r="G718" s="1432">
        <f t="shared" si="146"/>
        <v>1</v>
      </c>
    </row>
    <row r="719" spans="1:7" ht="17.100000000000001" customHeight="1">
      <c r="A719" s="848"/>
      <c r="B719" s="860"/>
      <c r="C719" s="1437" t="s">
        <v>747</v>
      </c>
      <c r="D719" s="1435" t="s">
        <v>542</v>
      </c>
      <c r="E719" s="1431">
        <v>51000</v>
      </c>
      <c r="F719" s="1431">
        <v>51000</v>
      </c>
      <c r="G719" s="1432">
        <f t="shared" si="146"/>
        <v>1</v>
      </c>
    </row>
    <row r="720" spans="1:7" ht="17.100000000000001" customHeight="1">
      <c r="A720" s="848"/>
      <c r="B720" s="860"/>
      <c r="C720" s="1437" t="s">
        <v>748</v>
      </c>
      <c r="D720" s="1435" t="s">
        <v>546</v>
      </c>
      <c r="E720" s="1431">
        <v>21250</v>
      </c>
      <c r="F720" s="1431">
        <v>21250</v>
      </c>
      <c r="G720" s="1432">
        <f t="shared" si="146"/>
        <v>1</v>
      </c>
    </row>
    <row r="721" spans="1:7" ht="17.100000000000001" customHeight="1">
      <c r="A721" s="848"/>
      <c r="B721" s="860"/>
      <c r="C721" s="1437" t="s">
        <v>749</v>
      </c>
      <c r="D721" s="1435" t="s">
        <v>546</v>
      </c>
      <c r="E721" s="1431">
        <v>3750</v>
      </c>
      <c r="F721" s="1431">
        <v>3750</v>
      </c>
      <c r="G721" s="1432">
        <f t="shared" si="146"/>
        <v>1</v>
      </c>
    </row>
    <row r="722" spans="1:7" ht="17.100000000000001" customHeight="1">
      <c r="A722" s="848"/>
      <c r="B722" s="860"/>
      <c r="C722" s="1437" t="s">
        <v>608</v>
      </c>
      <c r="D722" s="1435" t="s">
        <v>548</v>
      </c>
      <c r="E722" s="1431">
        <f>523178+2078250+17000</f>
        <v>2618428</v>
      </c>
      <c r="F722" s="1431">
        <f>421178+2041700+17000</f>
        <v>2479878</v>
      </c>
      <c r="G722" s="1432">
        <f t="shared" si="146"/>
        <v>0.94708657255421957</v>
      </c>
    </row>
    <row r="723" spans="1:7" ht="17.100000000000001" customHeight="1">
      <c r="A723" s="848"/>
      <c r="B723" s="860"/>
      <c r="C723" s="1437" t="s">
        <v>609</v>
      </c>
      <c r="D723" s="1435" t="s">
        <v>548</v>
      </c>
      <c r="E723" s="1431">
        <f>92326+366750+3000</f>
        <v>462076</v>
      </c>
      <c r="F723" s="1431">
        <f>74326+360300+3000</f>
        <v>437626</v>
      </c>
      <c r="G723" s="1432">
        <f t="shared" si="146"/>
        <v>0.94708662644240338</v>
      </c>
    </row>
    <row r="724" spans="1:7" ht="26.25" hidden="1" customHeight="1">
      <c r="A724" s="848"/>
      <c r="B724" s="860"/>
      <c r="C724" s="1437" t="s">
        <v>750</v>
      </c>
      <c r="D724" s="1435" t="s">
        <v>751</v>
      </c>
      <c r="E724" s="1431"/>
      <c r="F724" s="1431"/>
      <c r="G724" s="1432" t="e">
        <f t="shared" si="146"/>
        <v>#DIV/0!</v>
      </c>
    </row>
    <row r="725" spans="1:7" ht="16.5" customHeight="1">
      <c r="A725" s="848"/>
      <c r="B725" s="860"/>
      <c r="C725" s="1437" t="s">
        <v>728</v>
      </c>
      <c r="D725" s="1435" t="s">
        <v>701</v>
      </c>
      <c r="E725" s="1431">
        <f>17000+12750</f>
        <v>29750</v>
      </c>
      <c r="F725" s="1431">
        <f>4250+3060</f>
        <v>7310</v>
      </c>
      <c r="G725" s="1432">
        <f t="shared" si="146"/>
        <v>0.24571428571428572</v>
      </c>
    </row>
    <row r="726" spans="1:7" ht="16.5" customHeight="1">
      <c r="A726" s="848"/>
      <c r="B726" s="860"/>
      <c r="C726" s="1437" t="s">
        <v>700</v>
      </c>
      <c r="D726" s="1435" t="s">
        <v>701</v>
      </c>
      <c r="E726" s="1431">
        <f>3000+2250</f>
        <v>5250</v>
      </c>
      <c r="F726" s="1431">
        <f>750+540</f>
        <v>1290</v>
      </c>
      <c r="G726" s="1432">
        <f t="shared" si="146"/>
        <v>0.24571428571428572</v>
      </c>
    </row>
    <row r="727" spans="1:7" ht="17.100000000000001" customHeight="1">
      <c r="A727" s="848"/>
      <c r="B727" s="860"/>
      <c r="C727" s="1437" t="s">
        <v>610</v>
      </c>
      <c r="D727" s="1435" t="s">
        <v>552</v>
      </c>
      <c r="E727" s="1431">
        <f>17000+272000+174250</f>
        <v>463250</v>
      </c>
      <c r="F727" s="1431">
        <f>8500+1220600+174250</f>
        <v>1403350</v>
      </c>
      <c r="G727" s="1432">
        <f t="shared" si="146"/>
        <v>3.0293577981651376</v>
      </c>
    </row>
    <row r="728" spans="1:7" ht="16.5" customHeight="1">
      <c r="A728" s="848"/>
      <c r="B728" s="860"/>
      <c r="C728" s="1437" t="s">
        <v>611</v>
      </c>
      <c r="D728" s="1435" t="s">
        <v>552</v>
      </c>
      <c r="E728" s="1431">
        <f>3000+48000+30750</f>
        <v>81750</v>
      </c>
      <c r="F728" s="1431">
        <f>1500+215400+30750</f>
        <v>247650</v>
      </c>
      <c r="G728" s="1432">
        <f t="shared" si="146"/>
        <v>3.0293577981651376</v>
      </c>
    </row>
    <row r="729" spans="1:7" ht="16.5" hidden="1" customHeight="1">
      <c r="A729" s="848"/>
      <c r="B729" s="860"/>
      <c r="C729" s="1437" t="s">
        <v>752</v>
      </c>
      <c r="D729" s="1435" t="s">
        <v>554</v>
      </c>
      <c r="E729" s="1431"/>
      <c r="F729" s="1431"/>
      <c r="G729" s="1432" t="e">
        <f t="shared" si="146"/>
        <v>#DIV/0!</v>
      </c>
    </row>
    <row r="730" spans="1:7" ht="20.100000000000001" hidden="1" customHeight="1">
      <c r="A730" s="848"/>
      <c r="B730" s="860"/>
      <c r="C730" s="1437" t="s">
        <v>753</v>
      </c>
      <c r="D730" s="1435" t="s">
        <v>554</v>
      </c>
      <c r="E730" s="1431"/>
      <c r="F730" s="1431"/>
      <c r="G730" s="1432" t="e">
        <f t="shared" si="146"/>
        <v>#DIV/0!</v>
      </c>
    </row>
    <row r="731" spans="1:7" ht="17.100000000000001" customHeight="1">
      <c r="A731" s="848"/>
      <c r="B731" s="860"/>
      <c r="C731" s="1437" t="s">
        <v>612</v>
      </c>
      <c r="D731" s="1435" t="s">
        <v>556</v>
      </c>
      <c r="E731" s="1431">
        <f>97750+7650</f>
        <v>105400</v>
      </c>
      <c r="F731" s="1431">
        <f>68000+8500</f>
        <v>76500</v>
      </c>
      <c r="G731" s="1432">
        <f t="shared" si="146"/>
        <v>0.72580645161290325</v>
      </c>
    </row>
    <row r="732" spans="1:7" ht="17.100000000000001" customHeight="1">
      <c r="A732" s="848"/>
      <c r="B732" s="860"/>
      <c r="C732" s="1437" t="s">
        <v>613</v>
      </c>
      <c r="D732" s="1435" t="s">
        <v>556</v>
      </c>
      <c r="E732" s="1431">
        <f>17250+1350</f>
        <v>18600</v>
      </c>
      <c r="F732" s="1431">
        <f>12000+1500</f>
        <v>13500</v>
      </c>
      <c r="G732" s="1432">
        <f t="shared" si="146"/>
        <v>0.72580645161290325</v>
      </c>
    </row>
    <row r="733" spans="1:7" ht="17.100000000000001" customHeight="1">
      <c r="A733" s="848"/>
      <c r="B733" s="860"/>
      <c r="C733" s="1437" t="s">
        <v>702</v>
      </c>
      <c r="D733" s="1435" t="s">
        <v>684</v>
      </c>
      <c r="E733" s="1431">
        <f>34000+850</f>
        <v>34850</v>
      </c>
      <c r="F733" s="1431">
        <v>25500</v>
      </c>
      <c r="G733" s="1432">
        <f t="shared" si="146"/>
        <v>0.73170731707317072</v>
      </c>
    </row>
    <row r="734" spans="1:7" ht="17.100000000000001" customHeight="1">
      <c r="A734" s="848"/>
      <c r="B734" s="860"/>
      <c r="C734" s="1437" t="s">
        <v>703</v>
      </c>
      <c r="D734" s="1435" t="s">
        <v>684</v>
      </c>
      <c r="E734" s="1431">
        <f>6000+150</f>
        <v>6150</v>
      </c>
      <c r="F734" s="1431">
        <v>4500</v>
      </c>
      <c r="G734" s="1432">
        <f t="shared" si="146"/>
        <v>0.73170731707317072</v>
      </c>
    </row>
    <row r="735" spans="1:7" ht="17.100000000000001" customHeight="1">
      <c r="A735" s="848"/>
      <c r="B735" s="860"/>
      <c r="C735" s="1437" t="s">
        <v>754</v>
      </c>
      <c r="D735" s="1435" t="s">
        <v>566</v>
      </c>
      <c r="E735" s="1431">
        <v>25500</v>
      </c>
      <c r="F735" s="1431">
        <v>25500</v>
      </c>
      <c r="G735" s="1432">
        <f t="shared" si="146"/>
        <v>1</v>
      </c>
    </row>
    <row r="736" spans="1:7" ht="17.100000000000001" customHeight="1">
      <c r="A736" s="848"/>
      <c r="B736" s="860"/>
      <c r="C736" s="1437" t="s">
        <v>755</v>
      </c>
      <c r="D736" s="1435" t="s">
        <v>566</v>
      </c>
      <c r="E736" s="1431">
        <v>4500</v>
      </c>
      <c r="F736" s="1431">
        <v>4500</v>
      </c>
      <c r="G736" s="1432">
        <f t="shared" si="146"/>
        <v>1</v>
      </c>
    </row>
    <row r="737" spans="1:7" ht="17.100000000000001" customHeight="1">
      <c r="A737" s="848"/>
      <c r="B737" s="860"/>
      <c r="C737" s="1438" t="s">
        <v>756</v>
      </c>
      <c r="D737" s="1439" t="s">
        <v>632</v>
      </c>
      <c r="E737" s="1431">
        <f>89250+42500</f>
        <v>131750</v>
      </c>
      <c r="F737" s="1431">
        <f>89250+42500</f>
        <v>131750</v>
      </c>
      <c r="G737" s="1432">
        <f t="shared" si="146"/>
        <v>1</v>
      </c>
    </row>
    <row r="738" spans="1:7" ht="17.100000000000001" customHeight="1">
      <c r="A738" s="848"/>
      <c r="B738" s="860"/>
      <c r="C738" s="1462" t="s">
        <v>757</v>
      </c>
      <c r="D738" s="1463" t="s">
        <v>632</v>
      </c>
      <c r="E738" s="1431">
        <f>15750+7500</f>
        <v>23250</v>
      </c>
      <c r="F738" s="1431">
        <f>15750+7500</f>
        <v>23250</v>
      </c>
      <c r="G738" s="1432">
        <f t="shared" si="146"/>
        <v>1</v>
      </c>
    </row>
    <row r="739" spans="1:7" ht="17.100000000000001" customHeight="1">
      <c r="A739" s="848"/>
      <c r="B739" s="860"/>
      <c r="C739" s="1057" t="s">
        <v>616</v>
      </c>
      <c r="D739" s="1058" t="s">
        <v>570</v>
      </c>
      <c r="E739" s="1431">
        <v>212500</v>
      </c>
      <c r="F739" s="1431">
        <v>187000</v>
      </c>
      <c r="G739" s="1432">
        <f t="shared" si="146"/>
        <v>0.88</v>
      </c>
    </row>
    <row r="740" spans="1:7" ht="17.100000000000001" customHeight="1">
      <c r="A740" s="848"/>
      <c r="B740" s="860"/>
      <c r="C740" s="1437" t="s">
        <v>617</v>
      </c>
      <c r="D740" s="1435" t="s">
        <v>570</v>
      </c>
      <c r="E740" s="1431">
        <v>37500</v>
      </c>
      <c r="F740" s="1431">
        <v>33000</v>
      </c>
      <c r="G740" s="1432">
        <f t="shared" si="146"/>
        <v>0.88</v>
      </c>
    </row>
    <row r="741" spans="1:7" ht="17.100000000000001" customHeight="1">
      <c r="A741" s="848"/>
      <c r="B741" s="860"/>
      <c r="C741" s="999"/>
      <c r="D741" s="999"/>
      <c r="E741" s="882"/>
      <c r="F741" s="882"/>
      <c r="G741" s="883"/>
    </row>
    <row r="742" spans="1:7" ht="17.100000000000001" customHeight="1">
      <c r="A742" s="848"/>
      <c r="B742" s="860"/>
      <c r="C742" s="2995" t="s">
        <v>574</v>
      </c>
      <c r="D742" s="2995"/>
      <c r="E742" s="1464">
        <f>E743</f>
        <v>29458700</v>
      </c>
      <c r="F742" s="1464">
        <f>F743</f>
        <v>19041409</v>
      </c>
      <c r="G742" s="1443">
        <f t="shared" si="146"/>
        <v>0.64637641851133965</v>
      </c>
    </row>
    <row r="743" spans="1:7" ht="17.100000000000001" customHeight="1">
      <c r="A743" s="848"/>
      <c r="B743" s="860"/>
      <c r="C743" s="2980" t="s">
        <v>689</v>
      </c>
      <c r="D743" s="2980"/>
      <c r="E743" s="1431">
        <f>SUM(E744:E749)</f>
        <v>29458700</v>
      </c>
      <c r="F743" s="1431">
        <f>SUM(F744:F749)</f>
        <v>19041409</v>
      </c>
      <c r="G743" s="1432">
        <f t="shared" si="146"/>
        <v>0.64637641851133965</v>
      </c>
    </row>
    <row r="744" spans="1:7" ht="17.25" customHeight="1">
      <c r="A744" s="848"/>
      <c r="B744" s="860"/>
      <c r="C744" s="1437" t="s">
        <v>582</v>
      </c>
      <c r="D744" s="1435" t="s">
        <v>577</v>
      </c>
      <c r="E744" s="1431">
        <v>23922700</v>
      </c>
      <c r="F744" s="1431">
        <f>110000+12260034</f>
        <v>12370034</v>
      </c>
      <c r="G744" s="1432">
        <f t="shared" si="146"/>
        <v>0.51708352318091189</v>
      </c>
    </row>
    <row r="745" spans="1:7" ht="17.100000000000001" customHeight="1">
      <c r="A745" s="848"/>
      <c r="B745" s="860"/>
      <c r="C745" s="1437" t="s">
        <v>676</v>
      </c>
      <c r="D745" s="1435" t="s">
        <v>577</v>
      </c>
      <c r="E745" s="1431">
        <v>2201500</v>
      </c>
      <c r="F745" s="1431">
        <v>2897119</v>
      </c>
      <c r="G745" s="1432">
        <f t="shared" si="146"/>
        <v>1.3159750170338405</v>
      </c>
    </row>
    <row r="746" spans="1:7" ht="17.100000000000001" customHeight="1">
      <c r="A746" s="848"/>
      <c r="B746" s="860"/>
      <c r="C746" s="1437" t="s">
        <v>677</v>
      </c>
      <c r="D746" s="1435" t="s">
        <v>577</v>
      </c>
      <c r="E746" s="1431">
        <v>388500</v>
      </c>
      <c r="F746" s="1431">
        <v>514256</v>
      </c>
      <c r="G746" s="1432">
        <f t="shared" si="146"/>
        <v>1.3236962676962678</v>
      </c>
    </row>
    <row r="747" spans="1:7" ht="17.100000000000001" customHeight="1">
      <c r="A747" s="848"/>
      <c r="B747" s="2830"/>
      <c r="C747" s="1437" t="s">
        <v>576</v>
      </c>
      <c r="D747" s="1435" t="s">
        <v>622</v>
      </c>
      <c r="E747" s="1431">
        <v>2886000</v>
      </c>
      <c r="F747" s="1431">
        <v>3000000</v>
      </c>
      <c r="G747" s="1432">
        <f t="shared" si="146"/>
        <v>1.0395010395010396</v>
      </c>
    </row>
    <row r="748" spans="1:7" ht="17.100000000000001" customHeight="1">
      <c r="A748" s="848"/>
      <c r="B748" s="2830"/>
      <c r="C748" s="1437" t="s">
        <v>691</v>
      </c>
      <c r="D748" s="1435" t="s">
        <v>622</v>
      </c>
      <c r="E748" s="1431">
        <v>51000</v>
      </c>
      <c r="F748" s="1431">
        <v>221000</v>
      </c>
      <c r="G748" s="1432">
        <f t="shared" ref="G748:G813" si="148">F748/E748</f>
        <v>4.333333333333333</v>
      </c>
    </row>
    <row r="749" spans="1:7" ht="17.100000000000001" customHeight="1">
      <c r="A749" s="848"/>
      <c r="B749" s="2830"/>
      <c r="C749" s="1437" t="s">
        <v>674</v>
      </c>
      <c r="D749" s="1435" t="s">
        <v>622</v>
      </c>
      <c r="E749" s="1431">
        <v>9000</v>
      </c>
      <c r="F749" s="1431">
        <v>39000</v>
      </c>
      <c r="G749" s="1432">
        <f t="shared" si="148"/>
        <v>4.333333333333333</v>
      </c>
    </row>
    <row r="750" spans="1:7" ht="17.100000000000001" customHeight="1">
      <c r="A750" s="848"/>
      <c r="B750" s="2933"/>
      <c r="C750" s="1258"/>
      <c r="D750" s="1465"/>
      <c r="E750" s="1466"/>
      <c r="F750" s="1466"/>
      <c r="G750" s="1467"/>
    </row>
    <row r="751" spans="1:7" ht="17.100000000000001" customHeight="1">
      <c r="A751" s="848"/>
      <c r="B751" s="2933"/>
      <c r="C751" s="2988" t="s">
        <v>585</v>
      </c>
      <c r="D751" s="2996"/>
      <c r="E751" s="1278">
        <f>SUM(E752:E756)</f>
        <v>2650000</v>
      </c>
      <c r="F751" s="1278">
        <f>SUM(F752:F756)</f>
        <v>3781375</v>
      </c>
      <c r="G751" s="1279">
        <f t="shared" si="148"/>
        <v>1.426933962264151</v>
      </c>
    </row>
    <row r="752" spans="1:7" ht="17.100000000000001" customHeight="1">
      <c r="A752" s="848"/>
      <c r="B752" s="2933"/>
      <c r="C752" s="1437" t="s">
        <v>582</v>
      </c>
      <c r="D752" s="1435" t="s">
        <v>577</v>
      </c>
      <c r="E752" s="1190">
        <v>0</v>
      </c>
      <c r="F752" s="1190">
        <v>110000</v>
      </c>
      <c r="G752" s="1279"/>
    </row>
    <row r="753" spans="1:7" ht="17.100000000000001" customHeight="1">
      <c r="A753" s="848"/>
      <c r="B753" s="2933"/>
      <c r="C753" s="1437" t="s">
        <v>676</v>
      </c>
      <c r="D753" s="1435" t="s">
        <v>577</v>
      </c>
      <c r="E753" s="1431">
        <v>2201500</v>
      </c>
      <c r="F753" s="1431">
        <v>2897119</v>
      </c>
      <c r="G753" s="1432">
        <f t="shared" si="148"/>
        <v>1.3159750170338405</v>
      </c>
    </row>
    <row r="754" spans="1:7" ht="17.100000000000001" customHeight="1">
      <c r="A754" s="848"/>
      <c r="B754" s="2933"/>
      <c r="C754" s="1437" t="s">
        <v>677</v>
      </c>
      <c r="D754" s="1435" t="s">
        <v>577</v>
      </c>
      <c r="E754" s="1431">
        <v>388500</v>
      </c>
      <c r="F754" s="1431">
        <v>514256</v>
      </c>
      <c r="G754" s="1432">
        <f t="shared" si="148"/>
        <v>1.3236962676962678</v>
      </c>
    </row>
    <row r="755" spans="1:7" ht="17.100000000000001" customHeight="1">
      <c r="A755" s="848"/>
      <c r="B755" s="2933"/>
      <c r="C755" s="1468" t="s">
        <v>691</v>
      </c>
      <c r="D755" s="1469" t="s">
        <v>622</v>
      </c>
      <c r="E755" s="1431">
        <v>51000</v>
      </c>
      <c r="F755" s="1431">
        <v>221000</v>
      </c>
      <c r="G755" s="1432">
        <f t="shared" si="148"/>
        <v>4.333333333333333</v>
      </c>
    </row>
    <row r="756" spans="1:7" ht="17.100000000000001" customHeight="1" thickBot="1">
      <c r="A756" s="848"/>
      <c r="B756" s="2933"/>
      <c r="C756" s="1438" t="s">
        <v>674</v>
      </c>
      <c r="D756" s="1439" t="s">
        <v>622</v>
      </c>
      <c r="E756" s="1431">
        <v>9000</v>
      </c>
      <c r="F756" s="1431">
        <v>39000</v>
      </c>
      <c r="G756" s="1432">
        <f t="shared" si="148"/>
        <v>4.333333333333333</v>
      </c>
    </row>
    <row r="757" spans="1:7" ht="17.100000000000001" customHeight="1" thickBot="1">
      <c r="A757" s="848"/>
      <c r="B757" s="1072" t="s">
        <v>758</v>
      </c>
      <c r="C757" s="1073"/>
      <c r="D757" s="1074" t="s">
        <v>348</v>
      </c>
      <c r="E757" s="1075">
        <f t="shared" ref="E757:F758" si="149">E758</f>
        <v>20000</v>
      </c>
      <c r="F757" s="1075">
        <f t="shared" si="149"/>
        <v>20000</v>
      </c>
      <c r="G757" s="1076">
        <f t="shared" si="148"/>
        <v>1</v>
      </c>
    </row>
    <row r="758" spans="1:7" ht="17.100000000000001" customHeight="1">
      <c r="A758" s="848"/>
      <c r="B758" s="2806"/>
      <c r="C758" s="2802" t="s">
        <v>739</v>
      </c>
      <c r="D758" s="2802"/>
      <c r="E758" s="854">
        <f t="shared" si="149"/>
        <v>20000</v>
      </c>
      <c r="F758" s="854">
        <f t="shared" si="149"/>
        <v>20000</v>
      </c>
      <c r="G758" s="855">
        <f t="shared" si="148"/>
        <v>1</v>
      </c>
    </row>
    <row r="759" spans="1:7" ht="17.100000000000001" customHeight="1">
      <c r="A759" s="848"/>
      <c r="B759" s="2806"/>
      <c r="C759" s="2981" t="s">
        <v>522</v>
      </c>
      <c r="D759" s="2981"/>
      <c r="E759" s="1431">
        <f t="shared" ref="E759:F759" si="150">E760+E765</f>
        <v>20000</v>
      </c>
      <c r="F759" s="1431">
        <f t="shared" si="150"/>
        <v>20000</v>
      </c>
      <c r="G759" s="1432">
        <f t="shared" si="148"/>
        <v>1</v>
      </c>
    </row>
    <row r="760" spans="1:7" ht="17.100000000000001" customHeight="1">
      <c r="A760" s="848"/>
      <c r="B760" s="2806"/>
      <c r="C760" s="2987" t="s">
        <v>523</v>
      </c>
      <c r="D760" s="2987"/>
      <c r="E760" s="1449">
        <f t="shared" ref="E760:F760" si="151">SUM(E761:E763)</f>
        <v>10000</v>
      </c>
      <c r="F760" s="1449">
        <f t="shared" si="151"/>
        <v>10000</v>
      </c>
      <c r="G760" s="1450">
        <f t="shared" si="148"/>
        <v>1</v>
      </c>
    </row>
    <row r="761" spans="1:7" ht="17.100000000000001" customHeight="1">
      <c r="A761" s="848"/>
      <c r="B761" s="2806"/>
      <c r="C761" s="1437" t="s">
        <v>528</v>
      </c>
      <c r="D761" s="1435" t="s">
        <v>529</v>
      </c>
      <c r="E761" s="1431">
        <v>700</v>
      </c>
      <c r="F761" s="1431">
        <v>700</v>
      </c>
      <c r="G761" s="1432">
        <f t="shared" si="148"/>
        <v>1</v>
      </c>
    </row>
    <row r="762" spans="1:7" ht="17.100000000000001" customHeight="1">
      <c r="A762" s="848"/>
      <c r="B762" s="2806"/>
      <c r="C762" s="1437" t="s">
        <v>530</v>
      </c>
      <c r="D762" s="1435" t="s">
        <v>531</v>
      </c>
      <c r="E762" s="1431">
        <v>140</v>
      </c>
      <c r="F762" s="1431">
        <v>140</v>
      </c>
      <c r="G762" s="1432">
        <f t="shared" si="148"/>
        <v>1</v>
      </c>
    </row>
    <row r="763" spans="1:7" ht="17.100000000000001" customHeight="1">
      <c r="A763" s="848"/>
      <c r="B763" s="860"/>
      <c r="C763" s="1437" t="s">
        <v>532</v>
      </c>
      <c r="D763" s="1435" t="s">
        <v>533</v>
      </c>
      <c r="E763" s="1431">
        <v>9160</v>
      </c>
      <c r="F763" s="1431">
        <v>9160</v>
      </c>
      <c r="G763" s="1432">
        <f t="shared" si="148"/>
        <v>1</v>
      </c>
    </row>
    <row r="764" spans="1:7" ht="17.100000000000001" customHeight="1">
      <c r="A764" s="848"/>
      <c r="B764" s="860"/>
      <c r="C764" s="1258"/>
      <c r="D764" s="1451"/>
      <c r="E764" s="1260"/>
      <c r="F764" s="1260"/>
      <c r="G764" s="1232"/>
    </row>
    <row r="765" spans="1:7" ht="17.100000000000001" customHeight="1">
      <c r="A765" s="848"/>
      <c r="B765" s="860"/>
      <c r="C765" s="2988" t="s">
        <v>534</v>
      </c>
      <c r="D765" s="2988"/>
      <c r="E765" s="1278">
        <f t="shared" ref="E765:F765" si="152">SUM(E766:E767)</f>
        <v>10000</v>
      </c>
      <c r="F765" s="1278">
        <f t="shared" si="152"/>
        <v>10000</v>
      </c>
      <c r="G765" s="1279">
        <f t="shared" si="148"/>
        <v>1</v>
      </c>
    </row>
    <row r="766" spans="1:7" ht="17.100000000000001" customHeight="1">
      <c r="A766" s="848"/>
      <c r="B766" s="860"/>
      <c r="C766" s="1438" t="s">
        <v>537</v>
      </c>
      <c r="D766" s="1439" t="s">
        <v>538</v>
      </c>
      <c r="E766" s="1452">
        <v>3500</v>
      </c>
      <c r="F766" s="1452">
        <v>1500</v>
      </c>
      <c r="G766" s="1453">
        <f t="shared" si="148"/>
        <v>0.42857142857142855</v>
      </c>
    </row>
    <row r="767" spans="1:7" ht="17.100000000000001" customHeight="1" thickBot="1">
      <c r="A767" s="848"/>
      <c r="B767" s="860"/>
      <c r="C767" s="1400" t="s">
        <v>547</v>
      </c>
      <c r="D767" s="1370" t="s">
        <v>548</v>
      </c>
      <c r="E767" s="970">
        <v>6500</v>
      </c>
      <c r="F767" s="970">
        <v>8500</v>
      </c>
      <c r="G767" s="1470">
        <f t="shared" si="148"/>
        <v>1.3076923076923077</v>
      </c>
    </row>
    <row r="768" spans="1:7" ht="17.100000000000001" customHeight="1" thickBot="1">
      <c r="A768" s="848"/>
      <c r="B768" s="1072" t="s">
        <v>759</v>
      </c>
      <c r="C768" s="1073"/>
      <c r="D768" s="1074" t="s">
        <v>349</v>
      </c>
      <c r="E768" s="1075">
        <f>E769+E818</f>
        <v>20980334</v>
      </c>
      <c r="F768" s="1075">
        <f>F769+F818</f>
        <v>16918331</v>
      </c>
      <c r="G768" s="1076">
        <f t="shared" si="148"/>
        <v>0.80638997453520045</v>
      </c>
    </row>
    <row r="769" spans="1:7" ht="17.100000000000001" customHeight="1">
      <c r="A769" s="848"/>
      <c r="B769" s="2830"/>
      <c r="C769" s="2802" t="s">
        <v>521</v>
      </c>
      <c r="D769" s="2802"/>
      <c r="E769" s="854">
        <f>E770+E783+E787</f>
        <v>20395381</v>
      </c>
      <c r="F769" s="854">
        <f t="shared" ref="F769" si="153">F770+F783+F787</f>
        <v>16618331</v>
      </c>
      <c r="G769" s="855">
        <f t="shared" si="148"/>
        <v>0.814808558859479</v>
      </c>
    </row>
    <row r="770" spans="1:7" ht="17.100000000000001" customHeight="1">
      <c r="A770" s="848"/>
      <c r="B770" s="2830"/>
      <c r="C770" s="2989" t="s">
        <v>522</v>
      </c>
      <c r="D770" s="2989"/>
      <c r="E770" s="1471">
        <f>E771+E774</f>
        <v>13690284</v>
      </c>
      <c r="F770" s="1471">
        <f t="shared" ref="F770" si="154">F771+F774</f>
        <v>13754904</v>
      </c>
      <c r="G770" s="1472">
        <f t="shared" si="148"/>
        <v>1.0047201358277156</v>
      </c>
    </row>
    <row r="771" spans="1:7" ht="17.100000000000001" customHeight="1">
      <c r="A771" s="848"/>
      <c r="B771" s="2830"/>
      <c r="C771" s="2990" t="s">
        <v>523</v>
      </c>
      <c r="D771" s="2990"/>
      <c r="E771" s="1473">
        <f>SUM(E772:E772)</f>
        <v>35000</v>
      </c>
      <c r="F771" s="1473">
        <f t="shared" ref="F771" si="155">SUM(F772:F772)</f>
        <v>25500</v>
      </c>
      <c r="G771" s="1474">
        <f t="shared" si="148"/>
        <v>0.72857142857142854</v>
      </c>
    </row>
    <row r="772" spans="1:7" ht="17.100000000000001" customHeight="1">
      <c r="A772" s="848"/>
      <c r="B772" s="2830"/>
      <c r="C772" s="1475" t="s">
        <v>532</v>
      </c>
      <c r="D772" s="1476" t="s">
        <v>533</v>
      </c>
      <c r="E772" s="1471">
        <f>20000+15000</f>
        <v>35000</v>
      </c>
      <c r="F772" s="1471">
        <f>20400+5100</f>
        <v>25500</v>
      </c>
      <c r="G772" s="1472">
        <f t="shared" si="148"/>
        <v>0.72857142857142854</v>
      </c>
    </row>
    <row r="773" spans="1:7" ht="17.100000000000001" customHeight="1">
      <c r="A773" s="848"/>
      <c r="B773" s="2830"/>
      <c r="C773" s="999"/>
      <c r="D773" s="999"/>
      <c r="E773" s="882"/>
      <c r="F773" s="882"/>
      <c r="G773" s="883"/>
    </row>
    <row r="774" spans="1:7" ht="17.100000000000001" customHeight="1">
      <c r="A774" s="848"/>
      <c r="B774" s="2830"/>
      <c r="C774" s="2991" t="s">
        <v>534</v>
      </c>
      <c r="D774" s="2992"/>
      <c r="E774" s="1473">
        <f>SUM(E775:E781)</f>
        <v>13655284</v>
      </c>
      <c r="F774" s="1473">
        <f>SUM(F775:F781)</f>
        <v>13729404</v>
      </c>
      <c r="G774" s="1474">
        <f t="shared" si="148"/>
        <v>1.0054279354424265</v>
      </c>
    </row>
    <row r="775" spans="1:7" ht="17.100000000000001" customHeight="1">
      <c r="A775" s="848"/>
      <c r="B775" s="2830"/>
      <c r="C775" s="1457" t="s">
        <v>628</v>
      </c>
      <c r="D775" s="1477" t="s">
        <v>602</v>
      </c>
      <c r="E775" s="1431">
        <f>65000+30000</f>
        <v>95000</v>
      </c>
      <c r="F775" s="1431">
        <f>72200+30000</f>
        <v>102200</v>
      </c>
      <c r="G775" s="1432">
        <f t="shared" si="148"/>
        <v>1.0757894736842106</v>
      </c>
    </row>
    <row r="776" spans="1:7" ht="17.100000000000001" customHeight="1">
      <c r="A776" s="848"/>
      <c r="B776" s="2830"/>
      <c r="C776" s="1057" t="s">
        <v>537</v>
      </c>
      <c r="D776" s="1435" t="s">
        <v>538</v>
      </c>
      <c r="E776" s="1431">
        <f>20000+5000+368500+89000+1000</f>
        <v>483500</v>
      </c>
      <c r="F776" s="1431">
        <f>21000+4200+295000+94000+1000</f>
        <v>415200</v>
      </c>
      <c r="G776" s="1432">
        <f t="shared" si="148"/>
        <v>0.85873836608066179</v>
      </c>
    </row>
    <row r="777" spans="1:7" ht="17.100000000000001" customHeight="1">
      <c r="A777" s="848"/>
      <c r="B777" s="2830"/>
      <c r="C777" s="1437" t="s">
        <v>547</v>
      </c>
      <c r="D777" s="1435" t="s">
        <v>548</v>
      </c>
      <c r="E777" s="1431">
        <f>30000+97500+10340492+454803+115000</f>
        <v>11037795</v>
      </c>
      <c r="F777" s="1431">
        <f>30000+146000+10552004+427000+130000</f>
        <v>11285004</v>
      </c>
      <c r="G777" s="1432">
        <f t="shared" si="148"/>
        <v>1.0223965927977463</v>
      </c>
    </row>
    <row r="778" spans="1:7" ht="17.100000000000001" customHeight="1">
      <c r="A778" s="848"/>
      <c r="B778" s="2830"/>
      <c r="C778" s="1437" t="s">
        <v>740</v>
      </c>
      <c r="D778" s="1435" t="s">
        <v>701</v>
      </c>
      <c r="E778" s="1431">
        <f>98880+47509</f>
        <v>146389</v>
      </c>
      <c r="F778" s="1431">
        <f>110000+25000</f>
        <v>135000</v>
      </c>
      <c r="G778" s="1432">
        <f t="shared" si="148"/>
        <v>0.92220043855754186</v>
      </c>
    </row>
    <row r="779" spans="1:7" ht="17.100000000000001" customHeight="1">
      <c r="A779" s="848"/>
      <c r="B779" s="2830"/>
      <c r="C779" s="1057" t="s">
        <v>551</v>
      </c>
      <c r="D779" s="1058" t="s">
        <v>552</v>
      </c>
      <c r="E779" s="1431">
        <v>160000</v>
      </c>
      <c r="F779" s="1431">
        <v>60000</v>
      </c>
      <c r="G779" s="1432">
        <f t="shared" si="148"/>
        <v>0.375</v>
      </c>
    </row>
    <row r="780" spans="1:7" ht="17.100000000000001" customHeight="1">
      <c r="A780" s="848"/>
      <c r="B780" s="2830"/>
      <c r="C780" s="1478" t="s">
        <v>683</v>
      </c>
      <c r="D780" s="1479" t="s">
        <v>684</v>
      </c>
      <c r="E780" s="1431">
        <v>7600</v>
      </c>
      <c r="F780" s="1431">
        <v>7000</v>
      </c>
      <c r="G780" s="1432">
        <f t="shared" si="148"/>
        <v>0.92105263157894735</v>
      </c>
    </row>
    <row r="781" spans="1:7" ht="17.100000000000001" customHeight="1">
      <c r="A781" s="848"/>
      <c r="B781" s="2830"/>
      <c r="C781" s="1480" t="s">
        <v>567</v>
      </c>
      <c r="D781" s="1285" t="s">
        <v>568</v>
      </c>
      <c r="E781" s="1431">
        <v>1725000</v>
      </c>
      <c r="F781" s="1431">
        <v>1725000</v>
      </c>
      <c r="G781" s="1432">
        <f t="shared" si="148"/>
        <v>1</v>
      </c>
    </row>
    <row r="782" spans="1:7" ht="17.100000000000001" customHeight="1">
      <c r="A782" s="848"/>
      <c r="B782" s="2830"/>
      <c r="C782" s="999"/>
      <c r="D782" s="999"/>
      <c r="E782" s="882"/>
      <c r="F782" s="882"/>
      <c r="G782" s="883"/>
    </row>
    <row r="783" spans="1:7" ht="17.100000000000001" customHeight="1">
      <c r="A783" s="848"/>
      <c r="B783" s="2830"/>
      <c r="C783" s="2980" t="s">
        <v>618</v>
      </c>
      <c r="D783" s="2980"/>
      <c r="E783" s="1431">
        <f>E784+E785</f>
        <v>308597</v>
      </c>
      <c r="F783" s="1431">
        <f>F784+F785</f>
        <v>295097</v>
      </c>
      <c r="G783" s="1432">
        <f t="shared" si="148"/>
        <v>0.95625362527827551</v>
      </c>
    </row>
    <row r="784" spans="1:7" ht="40.5" customHeight="1">
      <c r="A784" s="848"/>
      <c r="B784" s="2830"/>
      <c r="C784" s="1437" t="s">
        <v>705</v>
      </c>
      <c r="D784" s="1435" t="s">
        <v>706</v>
      </c>
      <c r="E784" s="1431">
        <v>298597</v>
      </c>
      <c r="F784" s="1431">
        <v>295097</v>
      </c>
      <c r="G784" s="1432">
        <f t="shared" si="148"/>
        <v>0.98827851585916804</v>
      </c>
    </row>
    <row r="785" spans="1:7" ht="27.75" hidden="1" customHeight="1">
      <c r="A785" s="848"/>
      <c r="B785" s="2830"/>
      <c r="C785" s="1480" t="s">
        <v>298</v>
      </c>
      <c r="D785" s="1285" t="s">
        <v>708</v>
      </c>
      <c r="E785" s="1190">
        <v>10000</v>
      </c>
      <c r="F785" s="1190">
        <v>0</v>
      </c>
      <c r="G785" s="1191">
        <f t="shared" si="148"/>
        <v>0</v>
      </c>
    </row>
    <row r="786" spans="1:7" ht="18" customHeight="1">
      <c r="A786" s="848"/>
      <c r="B786" s="2830"/>
      <c r="C786" s="999"/>
      <c r="D786" s="999"/>
      <c r="E786" s="882"/>
      <c r="F786" s="882"/>
      <c r="G786" s="883"/>
    </row>
    <row r="787" spans="1:7" ht="18" customHeight="1">
      <c r="A787" s="848"/>
      <c r="B787" s="2830"/>
      <c r="C787" s="2981" t="s">
        <v>587</v>
      </c>
      <c r="D787" s="2981"/>
      <c r="E787" s="1431">
        <f>SUM(E788:E816)</f>
        <v>6396500</v>
      </c>
      <c r="F787" s="1431">
        <f>SUM(F788:F816)</f>
        <v>2568330</v>
      </c>
      <c r="G787" s="1432">
        <f t="shared" si="148"/>
        <v>0.40152114437583053</v>
      </c>
    </row>
    <row r="788" spans="1:7" ht="18" hidden="1" customHeight="1">
      <c r="A788" s="848"/>
      <c r="B788" s="2830"/>
      <c r="C788" s="1433" t="s">
        <v>646</v>
      </c>
      <c r="D788" s="1434" t="s">
        <v>645</v>
      </c>
      <c r="E788" s="1404">
        <v>152730</v>
      </c>
      <c r="F788" s="1404">
        <v>0</v>
      </c>
      <c r="G788" s="1405">
        <f t="shared" si="148"/>
        <v>0</v>
      </c>
    </row>
    <row r="789" spans="1:7" ht="18" customHeight="1">
      <c r="A789" s="848"/>
      <c r="B789" s="2830"/>
      <c r="C789" s="1481" t="s">
        <v>647</v>
      </c>
      <c r="D789" s="1409" t="s">
        <v>525</v>
      </c>
      <c r="E789" s="1482">
        <v>350000</v>
      </c>
      <c r="F789" s="1482">
        <v>450000</v>
      </c>
      <c r="G789" s="1405">
        <f t="shared" si="148"/>
        <v>1.2857142857142858</v>
      </c>
    </row>
    <row r="790" spans="1:7" ht="18" customHeight="1">
      <c r="A790" s="848"/>
      <c r="B790" s="2830"/>
      <c r="C790" s="1483" t="s">
        <v>591</v>
      </c>
      <c r="D790" s="1409" t="s">
        <v>525</v>
      </c>
      <c r="E790" s="1482">
        <v>123952</v>
      </c>
      <c r="F790" s="1482">
        <v>57383</v>
      </c>
      <c r="G790" s="1405">
        <f t="shared" si="148"/>
        <v>0.46294533367755258</v>
      </c>
    </row>
    <row r="791" spans="1:7" ht="18" customHeight="1">
      <c r="A791" s="848"/>
      <c r="B791" s="2830"/>
      <c r="C791" s="1354" t="s">
        <v>592</v>
      </c>
      <c r="D791" s="1409" t="s">
        <v>525</v>
      </c>
      <c r="E791" s="1482">
        <v>20947</v>
      </c>
      <c r="F791" s="1482">
        <v>8889</v>
      </c>
      <c r="G791" s="1405">
        <f t="shared" si="148"/>
        <v>0.42435670979137824</v>
      </c>
    </row>
    <row r="792" spans="1:7" ht="18" customHeight="1">
      <c r="A792" s="848"/>
      <c r="B792" s="2830"/>
      <c r="C792" s="1354" t="s">
        <v>649</v>
      </c>
      <c r="D792" s="1409" t="s">
        <v>529</v>
      </c>
      <c r="E792" s="1482">
        <v>60830</v>
      </c>
      <c r="F792" s="1482">
        <v>78210</v>
      </c>
      <c r="G792" s="1405">
        <f t="shared" si="148"/>
        <v>1.2857142857142858</v>
      </c>
    </row>
    <row r="793" spans="1:7" ht="18" customHeight="1">
      <c r="A793" s="848"/>
      <c r="B793" s="2830"/>
      <c r="C793" s="1354" t="s">
        <v>595</v>
      </c>
      <c r="D793" s="1409" t="s">
        <v>529</v>
      </c>
      <c r="E793" s="1482">
        <v>21543</v>
      </c>
      <c r="F793" s="1482">
        <v>9974</v>
      </c>
      <c r="G793" s="1405">
        <f t="shared" si="148"/>
        <v>0.46298101471475656</v>
      </c>
    </row>
    <row r="794" spans="1:7" ht="18" customHeight="1">
      <c r="A794" s="848"/>
      <c r="B794" s="2830"/>
      <c r="C794" s="1354" t="s">
        <v>596</v>
      </c>
      <c r="D794" s="1409" t="s">
        <v>529</v>
      </c>
      <c r="E794" s="1482">
        <v>3639</v>
      </c>
      <c r="F794" s="1482">
        <v>1544</v>
      </c>
      <c r="G794" s="1405">
        <f t="shared" si="148"/>
        <v>0.42429238801868646</v>
      </c>
    </row>
    <row r="795" spans="1:7" ht="18" customHeight="1">
      <c r="A795" s="848"/>
      <c r="B795" s="2830"/>
      <c r="C795" s="1354" t="s">
        <v>650</v>
      </c>
      <c r="D795" s="1409" t="s">
        <v>531</v>
      </c>
      <c r="E795" s="1482">
        <v>8575</v>
      </c>
      <c r="F795" s="1482">
        <v>11025</v>
      </c>
      <c r="G795" s="1405">
        <f t="shared" si="148"/>
        <v>1.2857142857142858</v>
      </c>
    </row>
    <row r="796" spans="1:7" ht="18" customHeight="1">
      <c r="A796" s="848"/>
      <c r="B796" s="2830"/>
      <c r="C796" s="1354" t="s">
        <v>597</v>
      </c>
      <c r="D796" s="1409" t="s">
        <v>531</v>
      </c>
      <c r="E796" s="1482">
        <v>3035</v>
      </c>
      <c r="F796" s="1482">
        <v>1406</v>
      </c>
      <c r="G796" s="1405">
        <f t="shared" si="148"/>
        <v>0.46326194398682041</v>
      </c>
    </row>
    <row r="797" spans="1:7" ht="18" customHeight="1">
      <c r="A797" s="848"/>
      <c r="B797" s="2830"/>
      <c r="C797" s="1354" t="s">
        <v>598</v>
      </c>
      <c r="D797" s="1409" t="s">
        <v>531</v>
      </c>
      <c r="E797" s="1482">
        <v>512</v>
      </c>
      <c r="F797" s="1482">
        <v>218</v>
      </c>
      <c r="G797" s="1405">
        <f t="shared" si="148"/>
        <v>0.42578125</v>
      </c>
    </row>
    <row r="798" spans="1:7" ht="18" customHeight="1">
      <c r="A798" s="848"/>
      <c r="B798" s="2830"/>
      <c r="C798" s="1354" t="s">
        <v>726</v>
      </c>
      <c r="D798" s="1409" t="s">
        <v>533</v>
      </c>
      <c r="E798" s="1482">
        <v>20000</v>
      </c>
      <c r="F798" s="1482">
        <v>20000</v>
      </c>
      <c r="G798" s="1405">
        <f t="shared" si="148"/>
        <v>1</v>
      </c>
    </row>
    <row r="799" spans="1:7" ht="18" customHeight="1">
      <c r="A799" s="848"/>
      <c r="B799" s="2830"/>
      <c r="C799" s="1354" t="s">
        <v>651</v>
      </c>
      <c r="D799" s="1409" t="s">
        <v>538</v>
      </c>
      <c r="E799" s="1482">
        <v>200000</v>
      </c>
      <c r="F799" s="1482">
        <v>200000</v>
      </c>
      <c r="G799" s="1405">
        <f t="shared" si="148"/>
        <v>1</v>
      </c>
    </row>
    <row r="800" spans="1:7" ht="18" customHeight="1">
      <c r="A800" s="848"/>
      <c r="B800" s="2830"/>
      <c r="C800" s="1354" t="s">
        <v>604</v>
      </c>
      <c r="D800" s="1409" t="s">
        <v>538</v>
      </c>
      <c r="E800" s="1482">
        <v>106650</v>
      </c>
      <c r="F800" s="1482">
        <v>204654</v>
      </c>
      <c r="G800" s="1405">
        <f t="shared" si="148"/>
        <v>1.9189310829817159</v>
      </c>
    </row>
    <row r="801" spans="1:7" ht="18" customHeight="1">
      <c r="A801" s="848"/>
      <c r="B801" s="2830"/>
      <c r="C801" s="1354" t="s">
        <v>605</v>
      </c>
      <c r="D801" s="1409" t="s">
        <v>538</v>
      </c>
      <c r="E801" s="1482">
        <v>18684</v>
      </c>
      <c r="F801" s="1482">
        <v>35757</v>
      </c>
      <c r="G801" s="1405">
        <f t="shared" si="148"/>
        <v>1.913776493256262</v>
      </c>
    </row>
    <row r="802" spans="1:7" ht="18" customHeight="1">
      <c r="A802" s="848"/>
      <c r="B802" s="2830"/>
      <c r="C802" s="1354" t="s">
        <v>652</v>
      </c>
      <c r="D802" s="1409" t="s">
        <v>548</v>
      </c>
      <c r="E802" s="1482">
        <v>4510595</v>
      </c>
      <c r="F802" s="1482">
        <v>992765</v>
      </c>
      <c r="G802" s="1405">
        <f t="shared" si="148"/>
        <v>0.22009624007475731</v>
      </c>
    </row>
    <row r="803" spans="1:7" ht="18" customHeight="1">
      <c r="A803" s="848"/>
      <c r="B803" s="2830"/>
      <c r="C803" s="1354" t="s">
        <v>608</v>
      </c>
      <c r="D803" s="1409" t="s">
        <v>548</v>
      </c>
      <c r="E803" s="1482">
        <v>546196</v>
      </c>
      <c r="F803" s="1482">
        <v>307431</v>
      </c>
      <c r="G803" s="1405">
        <f t="shared" si="148"/>
        <v>0.56285838783147446</v>
      </c>
    </row>
    <row r="804" spans="1:7" ht="18" customHeight="1">
      <c r="A804" s="848"/>
      <c r="B804" s="2830"/>
      <c r="C804" s="1354" t="s">
        <v>609</v>
      </c>
      <c r="D804" s="1409" t="s">
        <v>548</v>
      </c>
      <c r="E804" s="1482">
        <v>93578</v>
      </c>
      <c r="F804" s="1482">
        <v>37166</v>
      </c>
      <c r="G804" s="1405">
        <f t="shared" si="148"/>
        <v>0.39716600055568618</v>
      </c>
    </row>
    <row r="805" spans="1:7" ht="18" customHeight="1">
      <c r="A805" s="848"/>
      <c r="B805" s="2830"/>
      <c r="C805" s="1354" t="s">
        <v>727</v>
      </c>
      <c r="D805" s="1409" t="s">
        <v>701</v>
      </c>
      <c r="E805" s="1482">
        <v>20000</v>
      </c>
      <c r="F805" s="1482">
        <v>20000</v>
      </c>
      <c r="G805" s="1405">
        <f t="shared" si="148"/>
        <v>1</v>
      </c>
    </row>
    <row r="806" spans="1:7" ht="18" customHeight="1">
      <c r="A806" s="848"/>
      <c r="B806" s="2830"/>
      <c r="C806" s="1354" t="s">
        <v>728</v>
      </c>
      <c r="D806" s="1409" t="s">
        <v>701</v>
      </c>
      <c r="E806" s="1484">
        <v>851</v>
      </c>
      <c r="F806" s="1484">
        <v>1134</v>
      </c>
      <c r="G806" s="1485">
        <f t="shared" si="148"/>
        <v>1.3325499412455935</v>
      </c>
    </row>
    <row r="807" spans="1:7" ht="18" customHeight="1">
      <c r="A807" s="848"/>
      <c r="B807" s="2830"/>
      <c r="C807" s="1354" t="s">
        <v>700</v>
      </c>
      <c r="D807" s="1486" t="s">
        <v>701</v>
      </c>
      <c r="E807" s="1487">
        <v>95</v>
      </c>
      <c r="F807" s="1487">
        <v>126</v>
      </c>
      <c r="G807" s="1488">
        <f t="shared" si="148"/>
        <v>1.3263157894736841</v>
      </c>
    </row>
    <row r="808" spans="1:7" ht="18" customHeight="1">
      <c r="A808" s="848"/>
      <c r="B808" s="2830"/>
      <c r="C808" s="1354" t="s">
        <v>729</v>
      </c>
      <c r="D808" s="1058" t="s">
        <v>552</v>
      </c>
      <c r="E808" s="1487">
        <v>20000</v>
      </c>
      <c r="F808" s="1487">
        <v>20000</v>
      </c>
      <c r="G808" s="1488">
        <f t="shared" si="148"/>
        <v>1</v>
      </c>
    </row>
    <row r="809" spans="1:7" ht="18" customHeight="1">
      <c r="A809" s="848"/>
      <c r="B809" s="2830"/>
      <c r="C809" s="1354" t="s">
        <v>653</v>
      </c>
      <c r="D809" s="1489" t="s">
        <v>556</v>
      </c>
      <c r="E809" s="1490">
        <v>10000</v>
      </c>
      <c r="F809" s="1490">
        <v>8000</v>
      </c>
      <c r="G809" s="1491">
        <f t="shared" si="148"/>
        <v>0.8</v>
      </c>
    </row>
    <row r="810" spans="1:7" ht="18" hidden="1" customHeight="1">
      <c r="A810" s="848"/>
      <c r="B810" s="2830"/>
      <c r="C810" s="1354" t="s">
        <v>612</v>
      </c>
      <c r="D810" s="1492" t="s">
        <v>556</v>
      </c>
      <c r="E810" s="1493">
        <v>0</v>
      </c>
      <c r="F810" s="1493">
        <v>0</v>
      </c>
      <c r="G810" s="1494" t="e">
        <f t="shared" si="148"/>
        <v>#DIV/0!</v>
      </c>
    </row>
    <row r="811" spans="1:7" ht="18" hidden="1" customHeight="1">
      <c r="A811" s="848"/>
      <c r="B811" s="2830"/>
      <c r="C811" s="1354" t="s">
        <v>613</v>
      </c>
      <c r="D811" s="1495" t="s">
        <v>556</v>
      </c>
      <c r="E811" s="1496">
        <v>0</v>
      </c>
      <c r="F811" s="1496">
        <v>0</v>
      </c>
      <c r="G811" s="1497" t="e">
        <f t="shared" si="148"/>
        <v>#DIV/0!</v>
      </c>
    </row>
    <row r="812" spans="1:7" ht="18" hidden="1" customHeight="1">
      <c r="A812" s="848"/>
      <c r="B812" s="2830"/>
      <c r="C812" s="1354" t="s">
        <v>683</v>
      </c>
      <c r="D812" s="1498" t="s">
        <v>684</v>
      </c>
      <c r="E812" s="1496">
        <v>240</v>
      </c>
      <c r="F812" s="1496">
        <v>0</v>
      </c>
      <c r="G812" s="1497">
        <f t="shared" si="148"/>
        <v>0</v>
      </c>
    </row>
    <row r="813" spans="1:7" ht="18" customHeight="1">
      <c r="A813" s="848"/>
      <c r="B813" s="2830"/>
      <c r="C813" s="1354" t="s">
        <v>730</v>
      </c>
      <c r="D813" s="1498" t="s">
        <v>684</v>
      </c>
      <c r="E813" s="1496">
        <v>70000</v>
      </c>
      <c r="F813" s="1496">
        <v>70000</v>
      </c>
      <c r="G813" s="1497">
        <f t="shared" si="148"/>
        <v>1</v>
      </c>
    </row>
    <row r="814" spans="1:7" ht="18" customHeight="1">
      <c r="A814" s="848"/>
      <c r="B814" s="2830"/>
      <c r="C814" s="1354" t="s">
        <v>702</v>
      </c>
      <c r="D814" s="1498" t="s">
        <v>684</v>
      </c>
      <c r="E814" s="1496">
        <v>3363</v>
      </c>
      <c r="F814" s="1496">
        <v>2343</v>
      </c>
      <c r="G814" s="1497">
        <f t="shared" ref="G814:G881" si="156">F814/E814</f>
        <v>0.69669937555753791</v>
      </c>
    </row>
    <row r="815" spans="1:7" ht="18" customHeight="1">
      <c r="A815" s="848"/>
      <c r="B815" s="2830"/>
      <c r="C815" s="1354" t="s">
        <v>703</v>
      </c>
      <c r="D815" s="1498" t="s">
        <v>684</v>
      </c>
      <c r="E815" s="1496">
        <v>485</v>
      </c>
      <c r="F815" s="1496">
        <v>305</v>
      </c>
      <c r="G815" s="1497">
        <f t="shared" si="156"/>
        <v>0.62886597938144329</v>
      </c>
    </row>
    <row r="816" spans="1:7" ht="18" customHeight="1">
      <c r="A816" s="848"/>
      <c r="B816" s="2830"/>
      <c r="C816" s="1354" t="s">
        <v>654</v>
      </c>
      <c r="D816" s="1498" t="s">
        <v>760</v>
      </c>
      <c r="E816" s="1496">
        <v>30000</v>
      </c>
      <c r="F816" s="1496">
        <v>30000</v>
      </c>
      <c r="G816" s="1497">
        <f t="shared" si="156"/>
        <v>1</v>
      </c>
    </row>
    <row r="817" spans="1:7" ht="18" customHeight="1">
      <c r="A817" s="848"/>
      <c r="B817" s="2830"/>
      <c r="C817" s="1499"/>
      <c r="D817" s="1499"/>
      <c r="E817" s="1500"/>
      <c r="F817" s="1500"/>
      <c r="G817" s="1501"/>
    </row>
    <row r="818" spans="1:7" ht="17.100000000000001" customHeight="1">
      <c r="A818" s="848"/>
      <c r="B818" s="2830"/>
      <c r="C818" s="2900" t="s">
        <v>574</v>
      </c>
      <c r="D818" s="2900"/>
      <c r="E818" s="1502">
        <f t="shared" ref="E818:F818" si="157">E819</f>
        <v>584953</v>
      </c>
      <c r="F818" s="1502">
        <f t="shared" si="157"/>
        <v>300000</v>
      </c>
      <c r="G818" s="1503">
        <f t="shared" si="156"/>
        <v>0.51286171709521966</v>
      </c>
    </row>
    <row r="819" spans="1:7" ht="17.100000000000001" customHeight="1">
      <c r="A819" s="848"/>
      <c r="B819" s="2830"/>
      <c r="C819" s="2977" t="s">
        <v>575</v>
      </c>
      <c r="D819" s="2982"/>
      <c r="E819" s="1504">
        <f>SUM(E820:E824)</f>
        <v>584953</v>
      </c>
      <c r="F819" s="1504">
        <f t="shared" ref="F819" si="158">SUM(F820:F824)</f>
        <v>300000</v>
      </c>
      <c r="G819" s="1505">
        <f t="shared" si="156"/>
        <v>0.51286171709521966</v>
      </c>
    </row>
    <row r="820" spans="1:7" ht="17.100000000000001" customHeight="1">
      <c r="A820" s="848"/>
      <c r="B820" s="2830"/>
      <c r="C820" s="1506" t="s">
        <v>576</v>
      </c>
      <c r="D820" s="1507" t="s">
        <v>622</v>
      </c>
      <c r="E820" s="1508">
        <v>199953</v>
      </c>
      <c r="F820" s="1508">
        <v>200000</v>
      </c>
      <c r="G820" s="1509">
        <f t="shared" si="156"/>
        <v>1.0002350552379808</v>
      </c>
    </row>
    <row r="821" spans="1:7" ht="17.100000000000001" customHeight="1">
      <c r="A821" s="848"/>
      <c r="B821" s="860"/>
      <c r="C821" s="1510" t="s">
        <v>655</v>
      </c>
      <c r="D821" s="1511" t="s">
        <v>622</v>
      </c>
      <c r="E821" s="1508">
        <v>200000</v>
      </c>
      <c r="F821" s="1508">
        <v>100000</v>
      </c>
      <c r="G821" s="1509">
        <f t="shared" si="156"/>
        <v>0.5</v>
      </c>
    </row>
    <row r="822" spans="1:7" ht="17.100000000000001" hidden="1" customHeight="1">
      <c r="A822" s="848"/>
      <c r="B822" s="860"/>
      <c r="C822" s="1510" t="s">
        <v>691</v>
      </c>
      <c r="D822" s="1511" t="s">
        <v>622</v>
      </c>
      <c r="E822" s="1508">
        <v>12750</v>
      </c>
      <c r="F822" s="1508">
        <v>0</v>
      </c>
      <c r="G822" s="1509">
        <f t="shared" si="156"/>
        <v>0</v>
      </c>
    </row>
    <row r="823" spans="1:7" ht="17.100000000000001" hidden="1" customHeight="1">
      <c r="A823" s="848"/>
      <c r="B823" s="860"/>
      <c r="C823" s="1510" t="s">
        <v>674</v>
      </c>
      <c r="D823" s="1511" t="s">
        <v>622</v>
      </c>
      <c r="E823" s="1508">
        <v>2250</v>
      </c>
      <c r="F823" s="1508">
        <v>0</v>
      </c>
      <c r="G823" s="1509">
        <f t="shared" si="156"/>
        <v>0</v>
      </c>
    </row>
    <row r="824" spans="1:7" ht="27" hidden="1" customHeight="1">
      <c r="A824" s="848"/>
      <c r="B824" s="860"/>
      <c r="C824" s="1510" t="s">
        <v>663</v>
      </c>
      <c r="D824" s="1511" t="s">
        <v>761</v>
      </c>
      <c r="E824" s="1512">
        <v>170000</v>
      </c>
      <c r="F824" s="1512">
        <v>0</v>
      </c>
      <c r="G824" s="1513">
        <f t="shared" si="156"/>
        <v>0</v>
      </c>
    </row>
    <row r="825" spans="1:7" ht="17.100000000000001" customHeight="1">
      <c r="A825" s="848"/>
      <c r="B825" s="860"/>
      <c r="C825" s="1514"/>
      <c r="D825" s="1515"/>
      <c r="E825" s="1512"/>
      <c r="F825" s="1512"/>
      <c r="G825" s="1513"/>
    </row>
    <row r="826" spans="1:7" ht="17.100000000000001" customHeight="1">
      <c r="A826" s="848"/>
      <c r="B826" s="860"/>
      <c r="C826" s="2983" t="s">
        <v>585</v>
      </c>
      <c r="D826" s="2984"/>
      <c r="E826" s="1516">
        <f>SUM(E827:E830)</f>
        <v>385000</v>
      </c>
      <c r="F826" s="1516">
        <f t="shared" ref="F826" si="159">SUM(F827:F830)</f>
        <v>100000</v>
      </c>
      <c r="G826" s="1517">
        <f t="shared" si="156"/>
        <v>0.25974025974025972</v>
      </c>
    </row>
    <row r="827" spans="1:7" ht="17.100000000000001" customHeight="1" thickBot="1">
      <c r="A827" s="848"/>
      <c r="B827" s="860"/>
      <c r="C827" s="1518" t="s">
        <v>655</v>
      </c>
      <c r="D827" s="1519" t="s">
        <v>577</v>
      </c>
      <c r="E827" s="1520">
        <v>200000</v>
      </c>
      <c r="F827" s="1520">
        <v>100000</v>
      </c>
      <c r="G827" s="1521">
        <f t="shared" si="156"/>
        <v>0.5</v>
      </c>
    </row>
    <row r="828" spans="1:7" ht="17.100000000000001" hidden="1" customHeight="1">
      <c r="A828" s="848"/>
      <c r="B828" s="860"/>
      <c r="C828" s="1514" t="s">
        <v>691</v>
      </c>
      <c r="D828" s="1515" t="s">
        <v>622</v>
      </c>
      <c r="E828" s="1512">
        <v>12750</v>
      </c>
      <c r="F828" s="1512">
        <v>0</v>
      </c>
      <c r="G828" s="1513">
        <f t="shared" si="156"/>
        <v>0</v>
      </c>
    </row>
    <row r="829" spans="1:7" ht="17.100000000000001" hidden="1" customHeight="1">
      <c r="A829" s="848"/>
      <c r="B829" s="860"/>
      <c r="C829" s="1518" t="s">
        <v>674</v>
      </c>
      <c r="D829" s="1519" t="s">
        <v>622</v>
      </c>
      <c r="E829" s="1522">
        <v>2250</v>
      </c>
      <c r="F829" s="1522">
        <v>0</v>
      </c>
      <c r="G829" s="1521">
        <f t="shared" si="156"/>
        <v>0</v>
      </c>
    </row>
    <row r="830" spans="1:7" ht="27.75" hidden="1" customHeight="1" thickBot="1">
      <c r="A830" s="848"/>
      <c r="B830" s="860"/>
      <c r="C830" s="1523" t="s">
        <v>663</v>
      </c>
      <c r="D830" s="1524" t="s">
        <v>761</v>
      </c>
      <c r="E830" s="1525">
        <v>170000</v>
      </c>
      <c r="F830" s="1525">
        <v>0</v>
      </c>
      <c r="G830" s="1526">
        <f t="shared" si="156"/>
        <v>0</v>
      </c>
    </row>
    <row r="831" spans="1:7" ht="17.100000000000001" hidden="1" customHeight="1" thickBot="1">
      <c r="A831" s="848"/>
      <c r="B831" s="1072" t="s">
        <v>762</v>
      </c>
      <c r="C831" s="1073"/>
      <c r="D831" s="1074" t="s">
        <v>356</v>
      </c>
      <c r="E831" s="1527">
        <f>E832+E843</f>
        <v>337345</v>
      </c>
      <c r="F831" s="1527">
        <f t="shared" ref="F831" si="160">F832+F843</f>
        <v>0</v>
      </c>
      <c r="G831" s="1528">
        <f t="shared" si="156"/>
        <v>0</v>
      </c>
    </row>
    <row r="832" spans="1:7" ht="17.100000000000001" hidden="1" customHeight="1">
      <c r="A832" s="848"/>
      <c r="B832" s="2806"/>
      <c r="C832" s="2802" t="s">
        <v>521</v>
      </c>
      <c r="D832" s="2802"/>
      <c r="E832" s="1448">
        <f>E833</f>
        <v>192345</v>
      </c>
      <c r="F832" s="1448">
        <f t="shared" ref="F832" si="161">F833</f>
        <v>0</v>
      </c>
      <c r="G832" s="963">
        <f t="shared" si="156"/>
        <v>0</v>
      </c>
    </row>
    <row r="833" spans="1:7" ht="17.100000000000001" hidden="1" customHeight="1">
      <c r="A833" s="848"/>
      <c r="B833" s="2806"/>
      <c r="C833" s="2985" t="s">
        <v>522</v>
      </c>
      <c r="D833" s="2985"/>
      <c r="E833" s="1522">
        <f>E834+E837</f>
        <v>192345</v>
      </c>
      <c r="F833" s="1522">
        <f t="shared" ref="F833" si="162">F834+F837</f>
        <v>0</v>
      </c>
      <c r="G833" s="1521">
        <f t="shared" si="156"/>
        <v>0</v>
      </c>
    </row>
    <row r="834" spans="1:7" ht="17.100000000000001" hidden="1" customHeight="1">
      <c r="A834" s="848"/>
      <c r="B834" s="2806"/>
      <c r="C834" s="2986" t="s">
        <v>523</v>
      </c>
      <c r="D834" s="2986"/>
      <c r="E834" s="1522">
        <f>E835</f>
        <v>25880</v>
      </c>
      <c r="F834" s="1522">
        <f t="shared" ref="F834" si="163">F835</f>
        <v>0</v>
      </c>
      <c r="G834" s="1521">
        <f t="shared" si="156"/>
        <v>0</v>
      </c>
    </row>
    <row r="835" spans="1:7" ht="17.100000000000001" hidden="1" customHeight="1">
      <c r="A835" s="848"/>
      <c r="B835" s="2806"/>
      <c r="C835" s="1514" t="s">
        <v>532</v>
      </c>
      <c r="D835" s="1515" t="s">
        <v>533</v>
      </c>
      <c r="E835" s="1522">
        <v>25880</v>
      </c>
      <c r="F835" s="1522">
        <v>0</v>
      </c>
      <c r="G835" s="1521">
        <f t="shared" si="156"/>
        <v>0</v>
      </c>
    </row>
    <row r="836" spans="1:7" ht="17.100000000000001" hidden="1" customHeight="1">
      <c r="A836" s="848"/>
      <c r="B836" s="2806"/>
      <c r="C836" s="1529"/>
      <c r="D836" s="1529"/>
      <c r="E836" s="1530"/>
      <c r="F836" s="1530"/>
      <c r="G836" s="1531"/>
    </row>
    <row r="837" spans="1:7" ht="17.100000000000001" hidden="1" customHeight="1">
      <c r="A837" s="848"/>
      <c r="B837" s="2806"/>
      <c r="C837" s="2930" t="s">
        <v>534</v>
      </c>
      <c r="D837" s="2930"/>
      <c r="E837" s="1532">
        <f>SUM(E838:E841)</f>
        <v>166465</v>
      </c>
      <c r="F837" s="1532">
        <f>SUM(F838:F841)</f>
        <v>0</v>
      </c>
      <c r="G837" s="1533">
        <f t="shared" si="156"/>
        <v>0</v>
      </c>
    </row>
    <row r="838" spans="1:7" ht="17.100000000000001" hidden="1" customHeight="1">
      <c r="A838" s="848"/>
      <c r="B838" s="2806"/>
      <c r="C838" s="1534" t="s">
        <v>537</v>
      </c>
      <c r="D838" s="1535" t="s">
        <v>538</v>
      </c>
      <c r="E838" s="1532">
        <v>25025</v>
      </c>
      <c r="F838" s="1532">
        <v>0</v>
      </c>
      <c r="G838" s="1533">
        <f t="shared" si="156"/>
        <v>0</v>
      </c>
    </row>
    <row r="839" spans="1:7" ht="17.100000000000001" hidden="1" customHeight="1">
      <c r="A839" s="848"/>
      <c r="B839" s="2806"/>
      <c r="C839" s="1534" t="s">
        <v>547</v>
      </c>
      <c r="D839" s="1535" t="s">
        <v>548</v>
      </c>
      <c r="E839" s="1532">
        <v>138640</v>
      </c>
      <c r="F839" s="1532">
        <v>0</v>
      </c>
      <c r="G839" s="1533">
        <f t="shared" si="156"/>
        <v>0</v>
      </c>
    </row>
    <row r="840" spans="1:7" ht="17.100000000000001" hidden="1" customHeight="1">
      <c r="A840" s="848"/>
      <c r="B840" s="2806"/>
      <c r="C840" s="1536" t="s">
        <v>557</v>
      </c>
      <c r="D840" s="1537" t="s">
        <v>558</v>
      </c>
      <c r="E840" s="1532">
        <v>2400</v>
      </c>
      <c r="F840" s="1532">
        <v>0</v>
      </c>
      <c r="G840" s="1533">
        <f t="shared" si="156"/>
        <v>0</v>
      </c>
    </row>
    <row r="841" spans="1:7" ht="17.100000000000001" hidden="1" customHeight="1">
      <c r="A841" s="848"/>
      <c r="B841" s="2806"/>
      <c r="C841" s="1538" t="s">
        <v>763</v>
      </c>
      <c r="D841" s="1539" t="s">
        <v>764</v>
      </c>
      <c r="E841" s="1532">
        <v>400</v>
      </c>
      <c r="F841" s="1532">
        <v>0</v>
      </c>
      <c r="G841" s="1533">
        <f t="shared" si="156"/>
        <v>0</v>
      </c>
    </row>
    <row r="842" spans="1:7" ht="17.100000000000001" hidden="1" customHeight="1">
      <c r="A842" s="848"/>
      <c r="B842" s="974"/>
      <c r="C842" s="1366"/>
      <c r="D842" s="1376"/>
      <c r="E842" s="1532"/>
      <c r="F842" s="1532"/>
      <c r="G842" s="1533"/>
    </row>
    <row r="843" spans="1:7" ht="17.100000000000001" hidden="1" customHeight="1">
      <c r="A843" s="848"/>
      <c r="B843" s="974"/>
      <c r="C843" s="2945" t="s">
        <v>574</v>
      </c>
      <c r="D843" s="2945"/>
      <c r="E843" s="1540">
        <f>E844</f>
        <v>145000</v>
      </c>
      <c r="F843" s="1540">
        <f t="shared" ref="F843:F844" si="164">F844</f>
        <v>0</v>
      </c>
      <c r="G843" s="1541">
        <f t="shared" si="156"/>
        <v>0</v>
      </c>
    </row>
    <row r="844" spans="1:7" ht="17.100000000000001" hidden="1" customHeight="1">
      <c r="A844" s="848"/>
      <c r="B844" s="974"/>
      <c r="C844" s="2977" t="s">
        <v>575</v>
      </c>
      <c r="D844" s="2961"/>
      <c r="E844" s="1542">
        <f>E845</f>
        <v>145000</v>
      </c>
      <c r="F844" s="1542">
        <f t="shared" si="164"/>
        <v>0</v>
      </c>
      <c r="G844" s="1543">
        <f t="shared" si="156"/>
        <v>0</v>
      </c>
    </row>
    <row r="845" spans="1:7" ht="17.100000000000001" hidden="1" customHeight="1" thickBot="1">
      <c r="A845" s="848"/>
      <c r="B845" s="974"/>
      <c r="C845" s="1544" t="s">
        <v>576</v>
      </c>
      <c r="D845" s="1545" t="s">
        <v>622</v>
      </c>
      <c r="E845" s="1525">
        <v>145000</v>
      </c>
      <c r="F845" s="1525">
        <v>0</v>
      </c>
      <c r="G845" s="1546">
        <f t="shared" si="156"/>
        <v>0</v>
      </c>
    </row>
    <row r="846" spans="1:7" ht="15" customHeight="1" thickBot="1">
      <c r="A846" s="848"/>
      <c r="B846" s="1072" t="s">
        <v>765</v>
      </c>
      <c r="C846" s="1073"/>
      <c r="D846" s="1074" t="s">
        <v>359</v>
      </c>
      <c r="E846" s="1547">
        <f>E847</f>
        <v>200000</v>
      </c>
      <c r="F846" s="1547">
        <f t="shared" ref="F846" si="165">F847</f>
        <v>201000</v>
      </c>
      <c r="G846" s="1076">
        <f t="shared" si="156"/>
        <v>1.0049999999999999</v>
      </c>
    </row>
    <row r="847" spans="1:7" ht="15.75" customHeight="1">
      <c r="A847" s="848"/>
      <c r="B847" s="2811"/>
      <c r="C847" s="2813" t="s">
        <v>521</v>
      </c>
      <c r="D847" s="2813"/>
      <c r="E847" s="1548">
        <f>SUM(E848+E863)</f>
        <v>200000</v>
      </c>
      <c r="F847" s="1548">
        <f>SUM(F848+F863)</f>
        <v>201000</v>
      </c>
      <c r="G847" s="1549">
        <f t="shared" si="156"/>
        <v>1.0049999999999999</v>
      </c>
    </row>
    <row r="848" spans="1:7" ht="16.5" customHeight="1">
      <c r="A848" s="848"/>
      <c r="B848" s="2806"/>
      <c r="C848" s="2971" t="s">
        <v>522</v>
      </c>
      <c r="D848" s="2971"/>
      <c r="E848" s="1550">
        <f t="shared" ref="E848:F848" si="166">SUM(E849,E855)</f>
        <v>200000</v>
      </c>
      <c r="F848" s="1550">
        <f t="shared" si="166"/>
        <v>197000</v>
      </c>
      <c r="G848" s="1551">
        <f t="shared" si="156"/>
        <v>0.98499999999999999</v>
      </c>
    </row>
    <row r="849" spans="1:7" ht="16.5" customHeight="1">
      <c r="A849" s="848"/>
      <c r="B849" s="2806"/>
      <c r="C849" s="2978" t="s">
        <v>523</v>
      </c>
      <c r="D849" s="2978"/>
      <c r="E849" s="1552">
        <f t="shared" ref="E849:F849" si="167">SUM(E850:E853)</f>
        <v>95000</v>
      </c>
      <c r="F849" s="1552">
        <f t="shared" si="167"/>
        <v>128000</v>
      </c>
      <c r="G849" s="1553">
        <f t="shared" si="156"/>
        <v>1.3473684210526315</v>
      </c>
    </row>
    <row r="850" spans="1:7" ht="16.5" customHeight="1">
      <c r="A850" s="848"/>
      <c r="B850" s="2806"/>
      <c r="C850" s="1057" t="s">
        <v>524</v>
      </c>
      <c r="D850" s="1554" t="s">
        <v>525</v>
      </c>
      <c r="E850" s="1555">
        <v>76776</v>
      </c>
      <c r="F850" s="1555">
        <v>104314</v>
      </c>
      <c r="G850" s="1556">
        <f t="shared" si="156"/>
        <v>1.3586797957695114</v>
      </c>
    </row>
    <row r="851" spans="1:7" ht="18" customHeight="1">
      <c r="A851" s="848"/>
      <c r="B851" s="2806"/>
      <c r="C851" s="1557" t="s">
        <v>528</v>
      </c>
      <c r="D851" s="1554" t="s">
        <v>529</v>
      </c>
      <c r="E851" s="1555">
        <v>13343</v>
      </c>
      <c r="F851" s="1555">
        <v>18130</v>
      </c>
      <c r="G851" s="1556">
        <f t="shared" si="156"/>
        <v>1.3587648954507983</v>
      </c>
    </row>
    <row r="852" spans="1:7" ht="17.25" customHeight="1">
      <c r="A852" s="848"/>
      <c r="B852" s="2806"/>
      <c r="C852" s="1557" t="s">
        <v>530</v>
      </c>
      <c r="D852" s="1554" t="s">
        <v>531</v>
      </c>
      <c r="E852" s="1555">
        <v>1881</v>
      </c>
      <c r="F852" s="1555">
        <v>2556</v>
      </c>
      <c r="G852" s="1556">
        <f t="shared" si="156"/>
        <v>1.3588516746411483</v>
      </c>
    </row>
    <row r="853" spans="1:7" ht="17.25" customHeight="1">
      <c r="A853" s="848"/>
      <c r="B853" s="2806"/>
      <c r="C853" s="1557" t="s">
        <v>532</v>
      </c>
      <c r="D853" s="1554" t="s">
        <v>533</v>
      </c>
      <c r="E853" s="1555">
        <v>3000</v>
      </c>
      <c r="F853" s="1555">
        <v>3000</v>
      </c>
      <c r="G853" s="1556">
        <f t="shared" si="156"/>
        <v>1</v>
      </c>
    </row>
    <row r="854" spans="1:7">
      <c r="A854" s="848"/>
      <c r="B854" s="2806"/>
      <c r="C854" s="1558"/>
      <c r="D854" s="1558"/>
      <c r="E854" s="1559"/>
      <c r="F854" s="1559"/>
      <c r="G854" s="1556"/>
    </row>
    <row r="855" spans="1:7" ht="16.5" customHeight="1">
      <c r="A855" s="848"/>
      <c r="B855" s="2806"/>
      <c r="C855" s="2979" t="s">
        <v>534</v>
      </c>
      <c r="D855" s="2979"/>
      <c r="E855" s="1560">
        <f>SUM(E856:E861)</f>
        <v>105000</v>
      </c>
      <c r="F855" s="1560">
        <f>SUM(F856:F861)</f>
        <v>69000</v>
      </c>
      <c r="G855" s="1553">
        <f t="shared" si="156"/>
        <v>0.65714285714285714</v>
      </c>
    </row>
    <row r="856" spans="1:7" ht="17.25" customHeight="1">
      <c r="A856" s="848"/>
      <c r="B856" s="2806"/>
      <c r="C856" s="1557" t="s">
        <v>537</v>
      </c>
      <c r="D856" s="1554" t="s">
        <v>538</v>
      </c>
      <c r="E856" s="1559">
        <v>80000</v>
      </c>
      <c r="F856" s="1559">
        <v>50000</v>
      </c>
      <c r="G856" s="1556">
        <f t="shared" si="156"/>
        <v>0.625</v>
      </c>
    </row>
    <row r="857" spans="1:7" ht="17.25" customHeight="1">
      <c r="A857" s="848"/>
      <c r="B857" s="2806"/>
      <c r="C857" s="1557" t="s">
        <v>539</v>
      </c>
      <c r="D857" s="1554" t="s">
        <v>540</v>
      </c>
      <c r="E857" s="1559">
        <v>0</v>
      </c>
      <c r="F857" s="1559">
        <v>1000</v>
      </c>
      <c r="G857" s="1556"/>
    </row>
    <row r="858" spans="1:7" ht="16.5" customHeight="1">
      <c r="A858" s="848"/>
      <c r="B858" s="2806"/>
      <c r="C858" s="1557" t="s">
        <v>547</v>
      </c>
      <c r="D858" s="1554" t="s">
        <v>548</v>
      </c>
      <c r="E858" s="1559">
        <v>15000</v>
      </c>
      <c r="F858" s="1559">
        <v>12000</v>
      </c>
      <c r="G858" s="1556">
        <f t="shared" si="156"/>
        <v>0.8</v>
      </c>
    </row>
    <row r="859" spans="1:7" ht="16.5" customHeight="1">
      <c r="A859" s="848"/>
      <c r="B859" s="2806"/>
      <c r="C859" s="1561" t="s">
        <v>551</v>
      </c>
      <c r="D859" s="1562" t="s">
        <v>552</v>
      </c>
      <c r="E859" s="1563">
        <v>0</v>
      </c>
      <c r="F859" s="1563">
        <v>2000</v>
      </c>
      <c r="G859" s="1564"/>
    </row>
    <row r="860" spans="1:7" ht="16.5" customHeight="1">
      <c r="A860" s="848"/>
      <c r="B860" s="2806"/>
      <c r="C860" s="1561" t="s">
        <v>555</v>
      </c>
      <c r="D860" s="1562" t="s">
        <v>556</v>
      </c>
      <c r="E860" s="1563">
        <v>5000</v>
      </c>
      <c r="F860" s="1563">
        <v>2000</v>
      </c>
      <c r="G860" s="1564">
        <f t="shared" si="156"/>
        <v>0.4</v>
      </c>
    </row>
    <row r="861" spans="1:7" ht="18.75" customHeight="1">
      <c r="A861" s="848"/>
      <c r="B861" s="2806"/>
      <c r="C861" s="1565" t="s">
        <v>569</v>
      </c>
      <c r="D861" s="1566" t="s">
        <v>760</v>
      </c>
      <c r="E861" s="1559">
        <v>5000</v>
      </c>
      <c r="F861" s="1559">
        <v>2000</v>
      </c>
      <c r="G861" s="1556">
        <f t="shared" si="156"/>
        <v>0.4</v>
      </c>
    </row>
    <row r="862" spans="1:7" ht="12.75" customHeight="1">
      <c r="A862" s="848"/>
      <c r="B862" s="974"/>
      <c r="C862" s="1366"/>
      <c r="D862" s="1376"/>
      <c r="E862" s="1559"/>
      <c r="F862" s="1559"/>
      <c r="G862" s="1556"/>
    </row>
    <row r="863" spans="1:7" ht="14.25" customHeight="1">
      <c r="A863" s="848"/>
      <c r="B863" s="974"/>
      <c r="C863" s="2968" t="s">
        <v>766</v>
      </c>
      <c r="D863" s="2969"/>
      <c r="E863" s="1567">
        <f>E864</f>
        <v>0</v>
      </c>
      <c r="F863" s="1567">
        <f>F864</f>
        <v>4000</v>
      </c>
      <c r="G863" s="1556"/>
    </row>
    <row r="864" spans="1:7" ht="18.75" customHeight="1" thickBot="1">
      <c r="A864" s="848"/>
      <c r="B864" s="974"/>
      <c r="C864" s="1565" t="s">
        <v>736</v>
      </c>
      <c r="D864" s="1568" t="s">
        <v>744</v>
      </c>
      <c r="E864" s="1567">
        <v>0</v>
      </c>
      <c r="F864" s="1567">
        <v>4000</v>
      </c>
      <c r="G864" s="1556"/>
    </row>
    <row r="865" spans="1:7" ht="17.100000000000001" customHeight="1" thickBot="1">
      <c r="A865" s="2830"/>
      <c r="B865" s="1569" t="s">
        <v>767</v>
      </c>
      <c r="C865" s="1570"/>
      <c r="D865" s="1571" t="s">
        <v>254</v>
      </c>
      <c r="E865" s="1075">
        <f>E866+E931</f>
        <v>20525184</v>
      </c>
      <c r="F865" s="1075">
        <f t="shared" ref="F865" si="168">F866+F931</f>
        <v>15193417</v>
      </c>
      <c r="G865" s="1076">
        <f t="shared" si="156"/>
        <v>0.74023292556110576</v>
      </c>
    </row>
    <row r="866" spans="1:7" ht="17.100000000000001" customHeight="1">
      <c r="A866" s="2830"/>
      <c r="B866" s="2970"/>
      <c r="C866" s="2802" t="s">
        <v>521</v>
      </c>
      <c r="D866" s="2802"/>
      <c r="E866" s="854">
        <f>E867+E883+E890+E887</f>
        <v>16261085</v>
      </c>
      <c r="F866" s="854">
        <f t="shared" ref="F866" si="169">F867+F883+F890+F887</f>
        <v>13372631</v>
      </c>
      <c r="G866" s="855">
        <f t="shared" si="156"/>
        <v>0.8223701554970041</v>
      </c>
    </row>
    <row r="867" spans="1:7" ht="17.100000000000001" customHeight="1">
      <c r="A867" s="848"/>
      <c r="B867" s="2933"/>
      <c r="C867" s="2971" t="s">
        <v>522</v>
      </c>
      <c r="D867" s="2971"/>
      <c r="E867" s="1572">
        <f>E868+E872</f>
        <v>9839102</v>
      </c>
      <c r="F867" s="1572">
        <f t="shared" ref="F867" si="170">F868+F872</f>
        <v>9425665</v>
      </c>
      <c r="G867" s="1541">
        <f t="shared" si="156"/>
        <v>0.95798020998257771</v>
      </c>
    </row>
    <row r="868" spans="1:7" ht="17.100000000000001" customHeight="1">
      <c r="A868" s="848"/>
      <c r="B868" s="2933"/>
      <c r="C868" s="2972" t="s">
        <v>523</v>
      </c>
      <c r="D868" s="2972"/>
      <c r="E868" s="1573">
        <f>SUM(E869:E870)</f>
        <v>86700</v>
      </c>
      <c r="F868" s="1573">
        <f t="shared" ref="F868" si="171">SUM(F869:F870)</f>
        <v>90500</v>
      </c>
      <c r="G868" s="1574">
        <f t="shared" si="156"/>
        <v>1.0438292964244522</v>
      </c>
    </row>
    <row r="869" spans="1:7" ht="17.100000000000001" hidden="1" customHeight="1">
      <c r="A869" s="848"/>
      <c r="B869" s="2933"/>
      <c r="C869" s="1575">
        <v>4110</v>
      </c>
      <c r="D869" s="1576" t="s">
        <v>529</v>
      </c>
      <c r="E869" s="1572">
        <v>700</v>
      </c>
      <c r="F869" s="1572">
        <v>0</v>
      </c>
      <c r="G869" s="1541">
        <f t="shared" si="156"/>
        <v>0</v>
      </c>
    </row>
    <row r="870" spans="1:7" ht="17.100000000000001" customHeight="1">
      <c r="A870" s="848"/>
      <c r="B870" s="2933"/>
      <c r="C870" s="1544" t="s">
        <v>532</v>
      </c>
      <c r="D870" s="1545" t="s">
        <v>533</v>
      </c>
      <c r="E870" s="1572">
        <v>86000</v>
      </c>
      <c r="F870" s="1572">
        <v>90500</v>
      </c>
      <c r="G870" s="1541">
        <f t="shared" si="156"/>
        <v>1.0523255813953489</v>
      </c>
    </row>
    <row r="871" spans="1:7" ht="17.100000000000001" customHeight="1">
      <c r="A871" s="848"/>
      <c r="B871" s="2933"/>
      <c r="C871" s="999"/>
      <c r="D871" s="999"/>
      <c r="E871" s="882"/>
      <c r="F871" s="882"/>
      <c r="G871" s="883"/>
    </row>
    <row r="872" spans="1:7" ht="17.100000000000001" customHeight="1">
      <c r="A872" s="848"/>
      <c r="B872" s="2933"/>
      <c r="C872" s="2973" t="s">
        <v>534</v>
      </c>
      <c r="D872" s="2973"/>
      <c r="E872" s="1573">
        <f>SUM(E873:E885)</f>
        <v>9752402</v>
      </c>
      <c r="F872" s="1573">
        <f t="shared" ref="F872" si="172">SUM(F873:F885)</f>
        <v>9335165</v>
      </c>
      <c r="G872" s="1574">
        <f t="shared" si="156"/>
        <v>0.95721700151408851</v>
      </c>
    </row>
    <row r="873" spans="1:7" ht="17.100000000000001" customHeight="1">
      <c r="A873" s="848"/>
      <c r="B873" s="2933"/>
      <c r="C873" s="1544" t="s">
        <v>537</v>
      </c>
      <c r="D873" s="1545" t="s">
        <v>538</v>
      </c>
      <c r="E873" s="1572">
        <f>11240+7011+13000</f>
        <v>31251</v>
      </c>
      <c r="F873" s="1572">
        <f>5000+8000+13000</f>
        <v>26000</v>
      </c>
      <c r="G873" s="1541">
        <f t="shared" si="156"/>
        <v>0.83197337685194073</v>
      </c>
    </row>
    <row r="874" spans="1:7" ht="17.100000000000001" customHeight="1">
      <c r="A874" s="848"/>
      <c r="B874" s="2933"/>
      <c r="C874" s="1544" t="s">
        <v>547</v>
      </c>
      <c r="D874" s="1545" t="s">
        <v>548</v>
      </c>
      <c r="E874" s="1572">
        <f>1000+10996+14177+9069968</f>
        <v>9096141</v>
      </c>
      <c r="F874" s="1572">
        <f>1000+7900+16000+8623873</f>
        <v>8648773</v>
      </c>
      <c r="G874" s="1541">
        <f t="shared" si="156"/>
        <v>0.95081782483362998</v>
      </c>
    </row>
    <row r="875" spans="1:7" ht="17.100000000000001" customHeight="1">
      <c r="A875" s="848"/>
      <c r="B875" s="2933"/>
      <c r="C875" s="1544" t="s">
        <v>740</v>
      </c>
      <c r="D875" s="1545" t="s">
        <v>701</v>
      </c>
      <c r="E875" s="1572">
        <f>3000+3000+22000</f>
        <v>28000</v>
      </c>
      <c r="F875" s="1572">
        <f>3000+3640+6000</f>
        <v>12640</v>
      </c>
      <c r="G875" s="1541">
        <f t="shared" si="156"/>
        <v>0.4514285714285714</v>
      </c>
    </row>
    <row r="876" spans="1:7" ht="17.100000000000001" customHeight="1">
      <c r="A876" s="848"/>
      <c r="B876" s="2933"/>
      <c r="C876" s="1544" t="s">
        <v>551</v>
      </c>
      <c r="D876" s="1545" t="s">
        <v>552</v>
      </c>
      <c r="E876" s="1572">
        <f>15000+180000</f>
        <v>195000</v>
      </c>
      <c r="F876" s="1572">
        <f>15300+2000+250500</f>
        <v>267800</v>
      </c>
      <c r="G876" s="1541">
        <f t="shared" si="156"/>
        <v>1.3733333333333333</v>
      </c>
    </row>
    <row r="877" spans="1:7" ht="17.100000000000001" customHeight="1">
      <c r="A877" s="848"/>
      <c r="B877" s="2933"/>
      <c r="C877" s="1544" t="s">
        <v>555</v>
      </c>
      <c r="D877" s="1545" t="s">
        <v>556</v>
      </c>
      <c r="E877" s="1572">
        <v>6000</v>
      </c>
      <c r="F877" s="1572">
        <f>4000+1000</f>
        <v>5000</v>
      </c>
      <c r="G877" s="1541">
        <f t="shared" si="156"/>
        <v>0.83333333333333337</v>
      </c>
    </row>
    <row r="878" spans="1:7" ht="17.100000000000001" customHeight="1">
      <c r="A878" s="848"/>
      <c r="B878" s="2933"/>
      <c r="C878" s="1544" t="s">
        <v>683</v>
      </c>
      <c r="D878" s="1545" t="s">
        <v>684</v>
      </c>
      <c r="E878" s="1572">
        <v>10000</v>
      </c>
      <c r="F878" s="1572">
        <f>4000+7000</f>
        <v>11000</v>
      </c>
      <c r="G878" s="1541">
        <f t="shared" si="156"/>
        <v>1.1000000000000001</v>
      </c>
    </row>
    <row r="879" spans="1:7" ht="17.100000000000001" customHeight="1">
      <c r="A879" s="848"/>
      <c r="B879" s="2933"/>
      <c r="C879" s="1544" t="s">
        <v>557</v>
      </c>
      <c r="D879" s="1545" t="s">
        <v>558</v>
      </c>
      <c r="E879" s="1572">
        <f>110000+153760</f>
        <v>263760</v>
      </c>
      <c r="F879" s="1572">
        <f>112200+175000</f>
        <v>287200</v>
      </c>
      <c r="G879" s="1541">
        <f t="shared" si="156"/>
        <v>1.088868668486503</v>
      </c>
    </row>
    <row r="880" spans="1:7" ht="17.100000000000001" customHeight="1">
      <c r="A880" s="848"/>
      <c r="B880" s="2933"/>
      <c r="C880" s="1544" t="s">
        <v>768</v>
      </c>
      <c r="D880" s="1545" t="s">
        <v>769</v>
      </c>
      <c r="E880" s="1572">
        <v>45000</v>
      </c>
      <c r="F880" s="1572">
        <v>45000</v>
      </c>
      <c r="G880" s="1541">
        <f t="shared" si="156"/>
        <v>1</v>
      </c>
    </row>
    <row r="881" spans="1:7" ht="15.75" customHeight="1">
      <c r="A881" s="848"/>
      <c r="B881" s="2933"/>
      <c r="C881" s="1544" t="s">
        <v>631</v>
      </c>
      <c r="D881" s="1545" t="s">
        <v>632</v>
      </c>
      <c r="E881" s="1572">
        <f>32250+25000</f>
        <v>57250</v>
      </c>
      <c r="F881" s="1572">
        <f>6752+25000</f>
        <v>31752</v>
      </c>
      <c r="G881" s="1541">
        <f t="shared" si="156"/>
        <v>0.55462008733624457</v>
      </c>
    </row>
    <row r="882" spans="1:7" hidden="1">
      <c r="A882" s="848"/>
      <c r="B882" s="2933"/>
      <c r="C882" s="999"/>
      <c r="D882" s="999"/>
      <c r="E882" s="1572"/>
      <c r="F882" s="1572"/>
      <c r="G882" s="1541" t="e">
        <f t="shared" ref="G882:G957" si="173">F882/E882</f>
        <v>#DIV/0!</v>
      </c>
    </row>
    <row r="883" spans="1:7" hidden="1">
      <c r="A883" s="848"/>
      <c r="B883" s="2933"/>
      <c r="C883" s="2974" t="s">
        <v>618</v>
      </c>
      <c r="D883" s="2974"/>
      <c r="E883" s="1572"/>
      <c r="F883" s="1572"/>
      <c r="G883" s="1541" t="e">
        <f t="shared" si="173"/>
        <v>#DIV/0!</v>
      </c>
    </row>
    <row r="884" spans="1:7" ht="38.25" hidden="1">
      <c r="A884" s="848"/>
      <c r="B884" s="2933"/>
      <c r="C884" s="1577" t="s">
        <v>672</v>
      </c>
      <c r="D884" s="1578" t="s">
        <v>770</v>
      </c>
      <c r="E884" s="1572"/>
      <c r="F884" s="1572"/>
      <c r="G884" s="1541" t="e">
        <f t="shared" si="173"/>
        <v>#DIV/0!</v>
      </c>
    </row>
    <row r="885" spans="1:7" ht="15" hidden="1" customHeight="1">
      <c r="A885" s="848"/>
      <c r="B885" s="2933"/>
      <c r="C885" s="1544" t="s">
        <v>569</v>
      </c>
      <c r="D885" s="1579" t="s">
        <v>760</v>
      </c>
      <c r="E885" s="1572">
        <v>20000</v>
      </c>
      <c r="F885" s="1572">
        <v>0</v>
      </c>
      <c r="G885" s="1541">
        <f t="shared" si="173"/>
        <v>0</v>
      </c>
    </row>
    <row r="886" spans="1:7" ht="17.100000000000001" customHeight="1">
      <c r="A886" s="848"/>
      <c r="B886" s="2933"/>
      <c r="C886" s="1580"/>
      <c r="D886" s="1580"/>
      <c r="E886" s="1581"/>
      <c r="F886" s="1581"/>
      <c r="G886" s="1582"/>
    </row>
    <row r="887" spans="1:7" ht="17.100000000000001" customHeight="1">
      <c r="A887" s="848"/>
      <c r="B887" s="2933"/>
      <c r="C887" s="2974" t="s">
        <v>766</v>
      </c>
      <c r="D887" s="2974"/>
      <c r="E887" s="1583">
        <f t="shared" ref="E887:F887" si="174">E888</f>
        <v>3000</v>
      </c>
      <c r="F887" s="1583">
        <f t="shared" si="174"/>
        <v>3000</v>
      </c>
      <c r="G887" s="1584">
        <f t="shared" si="173"/>
        <v>1</v>
      </c>
    </row>
    <row r="888" spans="1:7" ht="17.100000000000001" customHeight="1">
      <c r="A888" s="848"/>
      <c r="B888" s="2933"/>
      <c r="C888" s="1544" t="s">
        <v>736</v>
      </c>
      <c r="D888" s="1545" t="s">
        <v>744</v>
      </c>
      <c r="E888" s="1583">
        <v>3000</v>
      </c>
      <c r="F888" s="1583">
        <v>3000</v>
      </c>
      <c r="G888" s="1584">
        <f t="shared" si="173"/>
        <v>1</v>
      </c>
    </row>
    <row r="889" spans="1:7" ht="17.100000000000001" customHeight="1">
      <c r="A889" s="848"/>
      <c r="B889" s="2933"/>
      <c r="C889" s="2975"/>
      <c r="D889" s="2976"/>
      <c r="E889" s="1581"/>
      <c r="F889" s="1581"/>
      <c r="G889" s="1582"/>
    </row>
    <row r="890" spans="1:7" ht="17.100000000000001" customHeight="1">
      <c r="A890" s="848"/>
      <c r="B890" s="2933"/>
      <c r="C890" s="2923" t="s">
        <v>587</v>
      </c>
      <c r="D890" s="2924"/>
      <c r="E890" s="1190">
        <f>SUM(E891:E929)</f>
        <v>6418983</v>
      </c>
      <c r="F890" s="1190">
        <f t="shared" ref="F890" si="175">SUM(F891:F929)</f>
        <v>3943966</v>
      </c>
      <c r="G890" s="1191">
        <f t="shared" si="173"/>
        <v>0.61442225349405033</v>
      </c>
    </row>
    <row r="891" spans="1:7" ht="57" hidden="1" customHeight="1">
      <c r="A891" s="848"/>
      <c r="B891" s="2933"/>
      <c r="C891" s="1585" t="s">
        <v>588</v>
      </c>
      <c r="D891" s="1210" t="s">
        <v>589</v>
      </c>
      <c r="E891" s="1190">
        <v>2402290</v>
      </c>
      <c r="F891" s="1190">
        <v>0</v>
      </c>
      <c r="G891" s="1191">
        <f t="shared" si="173"/>
        <v>0</v>
      </c>
    </row>
    <row r="892" spans="1:7" ht="57" hidden="1" customHeight="1">
      <c r="A892" s="848"/>
      <c r="B892" s="2933"/>
      <c r="C892" s="1585" t="s">
        <v>460</v>
      </c>
      <c r="D892" s="1210" t="s">
        <v>589</v>
      </c>
      <c r="E892" s="1190">
        <v>423934</v>
      </c>
      <c r="F892" s="1190">
        <v>0</v>
      </c>
      <c r="G892" s="1191">
        <f t="shared" si="173"/>
        <v>0</v>
      </c>
    </row>
    <row r="893" spans="1:7" ht="15.75" hidden="1" customHeight="1">
      <c r="A893" s="848"/>
      <c r="B893" s="2933"/>
      <c r="C893" s="1586" t="s">
        <v>771</v>
      </c>
      <c r="D893" s="1210" t="s">
        <v>645</v>
      </c>
      <c r="E893" s="1190">
        <v>83229</v>
      </c>
      <c r="F893" s="1190">
        <v>0</v>
      </c>
      <c r="G893" s="1191">
        <f t="shared" si="173"/>
        <v>0</v>
      </c>
    </row>
    <row r="894" spans="1:7" ht="17.100000000000001" customHeight="1">
      <c r="A894" s="848"/>
      <c r="B894" s="2933"/>
      <c r="C894" s="1057" t="s">
        <v>591</v>
      </c>
      <c r="D894" s="1587" t="s">
        <v>525</v>
      </c>
      <c r="E894" s="1190">
        <f>245804+957790+41219+37867</f>
        <v>1282680</v>
      </c>
      <c r="F894" s="1190">
        <f>245948+910006+34048</f>
        <v>1190002</v>
      </c>
      <c r="G894" s="1191">
        <f t="shared" si="173"/>
        <v>0.92774659307075813</v>
      </c>
    </row>
    <row r="895" spans="1:7" ht="17.100000000000001" customHeight="1">
      <c r="A895" s="848"/>
      <c r="B895" s="2933"/>
      <c r="C895" s="1588" t="s">
        <v>592</v>
      </c>
      <c r="D895" s="1587" t="s">
        <v>525</v>
      </c>
      <c r="E895" s="1190">
        <f>169021+7276+9297</f>
        <v>185594</v>
      </c>
      <c r="F895" s="1190">
        <f>160589+6009</f>
        <v>166598</v>
      </c>
      <c r="G895" s="1191">
        <f t="shared" si="173"/>
        <v>0.89764755326142009</v>
      </c>
    </row>
    <row r="896" spans="1:7" ht="17.100000000000001" customHeight="1">
      <c r="A896" s="848"/>
      <c r="B896" s="2933"/>
      <c r="C896" s="1588" t="s">
        <v>593</v>
      </c>
      <c r="D896" s="1587" t="s">
        <v>527</v>
      </c>
      <c r="E896" s="1190">
        <f>15064+53892</f>
        <v>68956</v>
      </c>
      <c r="F896" s="1190">
        <f>21000+53877</f>
        <v>74877</v>
      </c>
      <c r="G896" s="1191">
        <f t="shared" si="173"/>
        <v>1.0858663495562388</v>
      </c>
    </row>
    <row r="897" spans="1:7" ht="17.100000000000001" customHeight="1">
      <c r="A897" s="848"/>
      <c r="B897" s="2933"/>
      <c r="C897" s="1588" t="s">
        <v>594</v>
      </c>
      <c r="D897" s="1587" t="s">
        <v>527</v>
      </c>
      <c r="E897" s="1190">
        <v>9511</v>
      </c>
      <c r="F897" s="1190">
        <v>9508</v>
      </c>
      <c r="G897" s="1191">
        <f t="shared" si="173"/>
        <v>0.99968457575438963</v>
      </c>
    </row>
    <row r="898" spans="1:7" ht="17.100000000000001" customHeight="1">
      <c r="A898" s="848"/>
      <c r="B898" s="2933"/>
      <c r="C898" s="1588" t="s">
        <v>595</v>
      </c>
      <c r="D898" s="1587" t="s">
        <v>529</v>
      </c>
      <c r="E898" s="1190">
        <f>46442+182257+7164+6506</f>
        <v>242369</v>
      </c>
      <c r="F898" s="1190">
        <f>45587+173910+5917</f>
        <v>225414</v>
      </c>
      <c r="G898" s="1191">
        <f t="shared" si="173"/>
        <v>0.93004468393235107</v>
      </c>
    </row>
    <row r="899" spans="1:7" ht="17.100000000000001" customHeight="1">
      <c r="A899" s="848"/>
      <c r="B899" s="2933"/>
      <c r="C899" s="1588" t="s">
        <v>596</v>
      </c>
      <c r="D899" s="1587" t="s">
        <v>529</v>
      </c>
      <c r="E899" s="1190">
        <f>32163+1264+1591</f>
        <v>35018</v>
      </c>
      <c r="F899" s="1190">
        <f>30690+1044</f>
        <v>31734</v>
      </c>
      <c r="G899" s="1191">
        <f t="shared" si="173"/>
        <v>0.90621965846136276</v>
      </c>
    </row>
    <row r="900" spans="1:7" ht="17.100000000000001" customHeight="1">
      <c r="A900" s="848"/>
      <c r="B900" s="2933"/>
      <c r="C900" s="1588" t="s">
        <v>597</v>
      </c>
      <c r="D900" s="1587" t="s">
        <v>531</v>
      </c>
      <c r="E900" s="1190">
        <f>4594+53367+1010+763</f>
        <v>59734</v>
      </c>
      <c r="F900" s="1190">
        <f>4577+52207+834</f>
        <v>57618</v>
      </c>
      <c r="G900" s="1191">
        <f t="shared" si="173"/>
        <v>0.96457628821106911</v>
      </c>
    </row>
    <row r="901" spans="1:7" ht="17.100000000000001" customHeight="1">
      <c r="A901" s="848"/>
      <c r="B901" s="2933"/>
      <c r="C901" s="1588" t="s">
        <v>598</v>
      </c>
      <c r="D901" s="1587" t="s">
        <v>531</v>
      </c>
      <c r="E901" s="1190">
        <f>9418+178+176</f>
        <v>9772</v>
      </c>
      <c r="F901" s="1190">
        <f>9213+148</f>
        <v>9361</v>
      </c>
      <c r="G901" s="1191">
        <f t="shared" si="173"/>
        <v>0.95794105607859192</v>
      </c>
    </row>
    <row r="902" spans="1:7" ht="17.100000000000001" customHeight="1">
      <c r="A902" s="848"/>
      <c r="B902" s="2933"/>
      <c r="C902" s="1588" t="s">
        <v>599</v>
      </c>
      <c r="D902" s="1587" t="s">
        <v>533</v>
      </c>
      <c r="E902" s="1190">
        <v>0</v>
      </c>
      <c r="F902" s="1190">
        <v>2000</v>
      </c>
      <c r="G902" s="1191" t="e">
        <f t="shared" si="173"/>
        <v>#DIV/0!</v>
      </c>
    </row>
    <row r="903" spans="1:7" ht="17.100000000000001" customHeight="1">
      <c r="A903" s="848"/>
      <c r="B903" s="2933"/>
      <c r="C903" s="1588" t="s">
        <v>604</v>
      </c>
      <c r="D903" s="1587" t="s">
        <v>538</v>
      </c>
      <c r="E903" s="1190">
        <f>88000+112043+39579</f>
        <v>239622</v>
      </c>
      <c r="F903" s="1190">
        <f>100000+150293</f>
        <v>250293</v>
      </c>
      <c r="G903" s="1191">
        <f t="shared" si="173"/>
        <v>1.0445326389062775</v>
      </c>
    </row>
    <row r="904" spans="1:7" ht="17.100000000000001" customHeight="1">
      <c r="A904" s="848"/>
      <c r="B904" s="2933"/>
      <c r="C904" s="1588" t="s">
        <v>605</v>
      </c>
      <c r="D904" s="1587" t="s">
        <v>538</v>
      </c>
      <c r="E904" s="1190">
        <f>19772+6983</f>
        <v>26755</v>
      </c>
      <c r="F904" s="1190">
        <v>26522</v>
      </c>
      <c r="G904" s="1191">
        <f t="shared" si="173"/>
        <v>0.99129134741169878</v>
      </c>
    </row>
    <row r="905" spans="1:7" ht="17.100000000000001" customHeight="1">
      <c r="A905" s="848"/>
      <c r="B905" s="2933"/>
      <c r="C905" s="1588" t="s">
        <v>772</v>
      </c>
      <c r="D905" s="1587" t="s">
        <v>540</v>
      </c>
      <c r="E905" s="1190">
        <f>1000+38250</f>
        <v>39250</v>
      </c>
      <c r="F905" s="1190">
        <f>2000</f>
        <v>2000</v>
      </c>
      <c r="G905" s="1191">
        <f t="shared" si="173"/>
        <v>5.0955414012738856E-2</v>
      </c>
    </row>
    <row r="906" spans="1:7" ht="17.100000000000001" hidden="1" customHeight="1">
      <c r="A906" s="848"/>
      <c r="B906" s="2933"/>
      <c r="C906" s="1588" t="s">
        <v>773</v>
      </c>
      <c r="D906" s="1587" t="s">
        <v>540</v>
      </c>
      <c r="E906" s="1190">
        <v>6750</v>
      </c>
      <c r="F906" s="1190">
        <v>0</v>
      </c>
      <c r="G906" s="1191">
        <f t="shared" si="173"/>
        <v>0</v>
      </c>
    </row>
    <row r="907" spans="1:7" ht="17.100000000000001" customHeight="1">
      <c r="A907" s="848"/>
      <c r="B907" s="2933"/>
      <c r="C907" s="1588" t="s">
        <v>746</v>
      </c>
      <c r="D907" s="1587" t="s">
        <v>542</v>
      </c>
      <c r="E907" s="1190">
        <v>15300</v>
      </c>
      <c r="F907" s="1190">
        <v>15300</v>
      </c>
      <c r="G907" s="1191">
        <f t="shared" si="173"/>
        <v>1</v>
      </c>
    </row>
    <row r="908" spans="1:7" ht="17.100000000000001" customHeight="1">
      <c r="A908" s="848"/>
      <c r="B908" s="2933"/>
      <c r="C908" s="1588" t="s">
        <v>747</v>
      </c>
      <c r="D908" s="1587" t="s">
        <v>542</v>
      </c>
      <c r="E908" s="1190">
        <v>2700</v>
      </c>
      <c r="F908" s="1190">
        <v>2700</v>
      </c>
      <c r="G908" s="1191">
        <f t="shared" si="173"/>
        <v>1</v>
      </c>
    </row>
    <row r="909" spans="1:7" ht="17.100000000000001" customHeight="1">
      <c r="A909" s="848"/>
      <c r="B909" s="2933"/>
      <c r="C909" s="1588" t="s">
        <v>606</v>
      </c>
      <c r="D909" s="1587" t="s">
        <v>544</v>
      </c>
      <c r="E909" s="1190">
        <f>1000+1700</f>
        <v>2700</v>
      </c>
      <c r="F909" s="1190">
        <v>2000</v>
      </c>
      <c r="G909" s="1191">
        <f t="shared" si="173"/>
        <v>0.7407407407407407</v>
      </c>
    </row>
    <row r="910" spans="1:7" ht="17.100000000000001" hidden="1" customHeight="1">
      <c r="A910" s="848"/>
      <c r="B910" s="2933"/>
      <c r="C910" s="1588" t="s">
        <v>607</v>
      </c>
      <c r="D910" s="1587" t="s">
        <v>544</v>
      </c>
      <c r="E910" s="1190">
        <v>300</v>
      </c>
      <c r="F910" s="1190">
        <v>0</v>
      </c>
      <c r="G910" s="1191">
        <f t="shared" si="173"/>
        <v>0</v>
      </c>
    </row>
    <row r="911" spans="1:7" ht="17.100000000000001" customHeight="1">
      <c r="A911" s="848"/>
      <c r="B911" s="2933"/>
      <c r="C911" s="1588" t="s">
        <v>608</v>
      </c>
      <c r="D911" s="1587" t="s">
        <v>548</v>
      </c>
      <c r="E911" s="1190">
        <f>606051+296650+34012+23237</f>
        <v>959950</v>
      </c>
      <c r="F911" s="1190">
        <f>539154+296650+79646</f>
        <v>915450</v>
      </c>
      <c r="G911" s="1191">
        <f t="shared" si="173"/>
        <v>0.95364341892806914</v>
      </c>
    </row>
    <row r="912" spans="1:7" ht="17.100000000000001" customHeight="1">
      <c r="A912" s="848"/>
      <c r="B912" s="2933"/>
      <c r="C912" s="1588" t="s">
        <v>609</v>
      </c>
      <c r="D912" s="1587" t="s">
        <v>548</v>
      </c>
      <c r="E912" s="1190">
        <f>52350+6002+5793</f>
        <v>64145</v>
      </c>
      <c r="F912" s="1190">
        <f>52350+14054</f>
        <v>66404</v>
      </c>
      <c r="G912" s="1191">
        <f t="shared" si="173"/>
        <v>1.0352170862888768</v>
      </c>
    </row>
    <row r="913" spans="1:7" ht="17.100000000000001" customHeight="1">
      <c r="A913" s="848"/>
      <c r="B913" s="2933"/>
      <c r="C913" s="1588" t="s">
        <v>750</v>
      </c>
      <c r="D913" s="1587" t="s">
        <v>550</v>
      </c>
      <c r="E913" s="1190">
        <f>3165+6800</f>
        <v>9965</v>
      </c>
      <c r="F913" s="1190">
        <f>3000+6800</f>
        <v>9800</v>
      </c>
      <c r="G913" s="1191">
        <f t="shared" si="173"/>
        <v>0.98344204716507777</v>
      </c>
    </row>
    <row r="914" spans="1:7" ht="17.100000000000001" customHeight="1">
      <c r="A914" s="848"/>
      <c r="B914" s="2933"/>
      <c r="C914" s="1588" t="s">
        <v>774</v>
      </c>
      <c r="D914" s="1587" t="s">
        <v>550</v>
      </c>
      <c r="E914" s="1190">
        <v>1200</v>
      </c>
      <c r="F914" s="1190">
        <v>1200</v>
      </c>
      <c r="G914" s="1191">
        <f t="shared" si="173"/>
        <v>1</v>
      </c>
    </row>
    <row r="915" spans="1:7" ht="17.100000000000001" customHeight="1">
      <c r="A915" s="848"/>
      <c r="B915" s="2933"/>
      <c r="C915" s="1588" t="s">
        <v>728</v>
      </c>
      <c r="D915" s="1587" t="s">
        <v>701</v>
      </c>
      <c r="E915" s="1190">
        <f>6000+4250+2550</f>
        <v>12800</v>
      </c>
      <c r="F915" s="1190">
        <f>11000+4250</f>
        <v>15250</v>
      </c>
      <c r="G915" s="1191">
        <f t="shared" si="173"/>
        <v>1.19140625</v>
      </c>
    </row>
    <row r="916" spans="1:7" ht="17.100000000000001" customHeight="1">
      <c r="A916" s="848"/>
      <c r="B916" s="2933"/>
      <c r="C916" s="1588" t="s">
        <v>700</v>
      </c>
      <c r="D916" s="1587" t="s">
        <v>701</v>
      </c>
      <c r="E916" s="1190">
        <f>750+450</f>
        <v>1200</v>
      </c>
      <c r="F916" s="1190">
        <v>750</v>
      </c>
      <c r="G916" s="1191">
        <f t="shared" si="173"/>
        <v>0.625</v>
      </c>
    </row>
    <row r="917" spans="1:7" ht="17.100000000000001" customHeight="1">
      <c r="A917" s="848"/>
      <c r="B917" s="2933"/>
      <c r="C917" s="1588" t="s">
        <v>610</v>
      </c>
      <c r="D917" s="1587" t="s">
        <v>552</v>
      </c>
      <c r="E917" s="1190">
        <v>0</v>
      </c>
      <c r="F917" s="1190">
        <v>570350</v>
      </c>
      <c r="G917" s="1191"/>
    </row>
    <row r="918" spans="1:7" ht="17.100000000000001" customHeight="1">
      <c r="A918" s="848"/>
      <c r="B918" s="2933"/>
      <c r="C918" s="1588" t="s">
        <v>611</v>
      </c>
      <c r="D918" s="1587" t="s">
        <v>552</v>
      </c>
      <c r="E918" s="1190">
        <v>0</v>
      </c>
      <c r="F918" s="1190">
        <v>100650</v>
      </c>
      <c r="G918" s="1191"/>
    </row>
    <row r="919" spans="1:7" ht="27.75" customHeight="1">
      <c r="A919" s="848"/>
      <c r="B919" s="2933"/>
      <c r="C919" s="1588" t="s">
        <v>752</v>
      </c>
      <c r="D919" s="1587" t="s">
        <v>554</v>
      </c>
      <c r="E919" s="1190">
        <f>26000+17000</f>
        <v>43000</v>
      </c>
      <c r="F919" s="1190">
        <f>26000+17000</f>
        <v>43000</v>
      </c>
      <c r="G919" s="1191">
        <f t="shared" si="173"/>
        <v>1</v>
      </c>
    </row>
    <row r="920" spans="1:7" ht="27" customHeight="1">
      <c r="A920" s="848"/>
      <c r="B920" s="2933"/>
      <c r="C920" s="1588" t="s">
        <v>753</v>
      </c>
      <c r="D920" s="1587" t="s">
        <v>554</v>
      </c>
      <c r="E920" s="1190">
        <v>3000</v>
      </c>
      <c r="F920" s="1190">
        <v>3000</v>
      </c>
      <c r="G920" s="1191">
        <f t="shared" si="173"/>
        <v>1</v>
      </c>
    </row>
    <row r="921" spans="1:7" ht="17.100000000000001" customHeight="1">
      <c r="A921" s="848"/>
      <c r="B921" s="2933"/>
      <c r="C921" s="1588" t="s">
        <v>612</v>
      </c>
      <c r="D921" s="1587" t="s">
        <v>556</v>
      </c>
      <c r="E921" s="1190">
        <f>19071+9932+4944</f>
        <v>33947</v>
      </c>
      <c r="F921" s="1190">
        <f>10000+9932</f>
        <v>19932</v>
      </c>
      <c r="G921" s="1191">
        <f t="shared" si="173"/>
        <v>0.58715055822311246</v>
      </c>
    </row>
    <row r="922" spans="1:7" ht="17.100000000000001" customHeight="1">
      <c r="A922" s="848"/>
      <c r="B922" s="2933"/>
      <c r="C922" s="1588" t="s">
        <v>613</v>
      </c>
      <c r="D922" s="1587" t="s">
        <v>556</v>
      </c>
      <c r="E922" s="1190">
        <f>1753+872</f>
        <v>2625</v>
      </c>
      <c r="F922" s="1190">
        <v>1753</v>
      </c>
      <c r="G922" s="1191">
        <f t="shared" si="173"/>
        <v>0.66780952380952385</v>
      </c>
    </row>
    <row r="923" spans="1:7" ht="17.100000000000001" customHeight="1">
      <c r="A923" s="848"/>
      <c r="B923" s="2933"/>
      <c r="C923" s="1588" t="s">
        <v>702</v>
      </c>
      <c r="D923" s="1587" t="s">
        <v>684</v>
      </c>
      <c r="E923" s="1190">
        <f>22515+5950</f>
        <v>28465</v>
      </c>
      <c r="F923" s="1190">
        <v>10000</v>
      </c>
      <c r="G923" s="1191">
        <f t="shared" si="173"/>
        <v>0.35130862462673457</v>
      </c>
    </row>
    <row r="924" spans="1:7" ht="17.100000000000001" customHeight="1">
      <c r="A924" s="848"/>
      <c r="B924" s="2933"/>
      <c r="C924" s="1588" t="s">
        <v>703</v>
      </c>
      <c r="D924" s="1587" t="s">
        <v>684</v>
      </c>
      <c r="E924" s="1190">
        <v>1050</v>
      </c>
      <c r="F924" s="1190"/>
      <c r="G924" s="1191">
        <f t="shared" si="173"/>
        <v>0</v>
      </c>
    </row>
    <row r="925" spans="1:7" ht="17.100000000000001" customHeight="1">
      <c r="A925" s="848"/>
      <c r="B925" s="2933"/>
      <c r="C925" s="1588" t="s">
        <v>754</v>
      </c>
      <c r="D925" s="1587" t="s">
        <v>566</v>
      </c>
      <c r="E925" s="1190">
        <v>1275</v>
      </c>
      <c r="F925" s="1190">
        <v>1275</v>
      </c>
      <c r="G925" s="1191">
        <f t="shared" si="173"/>
        <v>1</v>
      </c>
    </row>
    <row r="926" spans="1:7" ht="17.100000000000001" customHeight="1">
      <c r="A926" s="848"/>
      <c r="B926" s="2933"/>
      <c r="C926" s="1589" t="s">
        <v>755</v>
      </c>
      <c r="D926" s="1587" t="s">
        <v>566</v>
      </c>
      <c r="E926" s="1190">
        <v>225</v>
      </c>
      <c r="F926" s="1190">
        <v>225</v>
      </c>
      <c r="G926" s="1191">
        <f t="shared" si="173"/>
        <v>1</v>
      </c>
    </row>
    <row r="927" spans="1:7" ht="40.5" hidden="1" customHeight="1">
      <c r="A927" s="848"/>
      <c r="B927" s="2933"/>
      <c r="C927" s="1590" t="s">
        <v>640</v>
      </c>
      <c r="D927" s="1591" t="s">
        <v>641</v>
      </c>
      <c r="E927" s="1190">
        <v>4</v>
      </c>
      <c r="F927" s="1190">
        <v>0</v>
      </c>
      <c r="G927" s="1191">
        <f t="shared" si="173"/>
        <v>0</v>
      </c>
    </row>
    <row r="928" spans="1:7" ht="17.100000000000001" customHeight="1">
      <c r="A928" s="848"/>
      <c r="B928" s="2933"/>
      <c r="C928" s="1592" t="s">
        <v>616</v>
      </c>
      <c r="D928" s="1591" t="s">
        <v>760</v>
      </c>
      <c r="E928" s="1190">
        <f>11668+91800</f>
        <v>103468</v>
      </c>
      <c r="F928" s="1190">
        <f>9000+93500</f>
        <v>102500</v>
      </c>
      <c r="G928" s="1191">
        <f t="shared" si="173"/>
        <v>0.99064445045811267</v>
      </c>
    </row>
    <row r="929" spans="1:7" ht="17.100000000000001" customHeight="1">
      <c r="A929" s="2830"/>
      <c r="B929" s="2933"/>
      <c r="C929" s="1592" t="s">
        <v>617</v>
      </c>
      <c r="D929" s="1593" t="s">
        <v>760</v>
      </c>
      <c r="E929" s="1594">
        <v>16200</v>
      </c>
      <c r="F929" s="1594">
        <v>16500</v>
      </c>
      <c r="G929" s="1595">
        <f t="shared" si="173"/>
        <v>1.0185185185185186</v>
      </c>
    </row>
    <row r="930" spans="1:7" ht="17.100000000000001" customHeight="1">
      <c r="A930" s="2830"/>
      <c r="B930" s="2933"/>
      <c r="C930" s="1596"/>
      <c r="D930" s="1597"/>
      <c r="E930" s="1598"/>
      <c r="F930" s="1598"/>
      <c r="G930" s="1599"/>
    </row>
    <row r="931" spans="1:7" ht="17.100000000000001" customHeight="1">
      <c r="A931" s="2830"/>
      <c r="B931" s="2933"/>
      <c r="C931" s="2959" t="s">
        <v>574</v>
      </c>
      <c r="D931" s="2867"/>
      <c r="E931" s="1600">
        <f>E932+E940</f>
        <v>4264099</v>
      </c>
      <c r="F931" s="1600">
        <f t="shared" ref="F931" si="176">F932+F940</f>
        <v>1820786</v>
      </c>
      <c r="G931" s="855">
        <f t="shared" si="173"/>
        <v>0.42700368823519341</v>
      </c>
    </row>
    <row r="932" spans="1:7" ht="17.100000000000001" customHeight="1">
      <c r="A932" s="2830"/>
      <c r="B932" s="2933"/>
      <c r="C932" s="2960" t="s">
        <v>575</v>
      </c>
      <c r="D932" s="2961"/>
      <c r="E932" s="1540">
        <f>SUM(E933:E938)</f>
        <v>264047</v>
      </c>
      <c r="F932" s="1540">
        <f>SUM(F933:F938)</f>
        <v>1820786</v>
      </c>
      <c r="G932" s="1541">
        <f t="shared" si="173"/>
        <v>6.8956890250599328</v>
      </c>
    </row>
    <row r="933" spans="1:7" ht="17.100000000000001" customHeight="1">
      <c r="A933" s="2830"/>
      <c r="B933" s="2933"/>
      <c r="C933" s="1588" t="s">
        <v>582</v>
      </c>
      <c r="D933" s="1587" t="s">
        <v>577</v>
      </c>
      <c r="E933" s="1601">
        <v>250000</v>
      </c>
      <c r="F933" s="1601">
        <v>250000</v>
      </c>
      <c r="G933" s="1602">
        <f t="shared" si="173"/>
        <v>1</v>
      </c>
    </row>
    <row r="934" spans="1:7" ht="17.100000000000001" customHeight="1">
      <c r="A934" s="2830"/>
      <c r="B934" s="2933"/>
      <c r="C934" s="1603" t="s">
        <v>691</v>
      </c>
      <c r="D934" s="1604" t="s">
        <v>622</v>
      </c>
      <c r="E934" s="1601">
        <v>14000</v>
      </c>
      <c r="F934" s="1601">
        <v>10000</v>
      </c>
      <c r="G934" s="1602">
        <f t="shared" si="173"/>
        <v>0.7142857142857143</v>
      </c>
    </row>
    <row r="935" spans="1:7" ht="42" customHeight="1">
      <c r="A935" s="2830"/>
      <c r="B935" s="1273"/>
      <c r="C935" s="1603" t="s">
        <v>658</v>
      </c>
      <c r="D935" s="1376" t="s">
        <v>662</v>
      </c>
      <c r="E935" s="1601">
        <v>0</v>
      </c>
      <c r="F935" s="1601">
        <v>20000</v>
      </c>
      <c r="G935" s="1602"/>
    </row>
    <row r="936" spans="1:7" ht="53.25" customHeight="1">
      <c r="A936" s="2830"/>
      <c r="B936" s="1273"/>
      <c r="C936" s="1603" t="s">
        <v>659</v>
      </c>
      <c r="D936" s="1605" t="s">
        <v>660</v>
      </c>
      <c r="E936" s="1601">
        <v>0</v>
      </c>
      <c r="F936" s="1601">
        <v>1540786</v>
      </c>
      <c r="G936" s="1602"/>
    </row>
    <row r="937" spans="1:7" ht="38.25" hidden="1">
      <c r="A937" s="2830"/>
      <c r="B937" s="1273"/>
      <c r="C937" s="1603" t="s">
        <v>775</v>
      </c>
      <c r="D937" s="1604" t="s">
        <v>776</v>
      </c>
      <c r="E937" s="1601">
        <v>0</v>
      </c>
      <c r="F937" s="1601">
        <v>0</v>
      </c>
      <c r="G937" s="1602"/>
    </row>
    <row r="938" spans="1:7" ht="51" hidden="1">
      <c r="A938" s="2830"/>
      <c r="B938" s="1273"/>
      <c r="C938" s="1606" t="s">
        <v>777</v>
      </c>
      <c r="D938" s="1376" t="s">
        <v>584</v>
      </c>
      <c r="E938" s="1607">
        <v>47</v>
      </c>
      <c r="F938" s="1607">
        <v>0</v>
      </c>
      <c r="G938" s="1608">
        <f t="shared" si="173"/>
        <v>0</v>
      </c>
    </row>
    <row r="939" spans="1:7" ht="15">
      <c r="A939" s="2830"/>
      <c r="B939" s="1273"/>
      <c r="C939" s="2962"/>
      <c r="D939" s="2963"/>
      <c r="E939" s="1607"/>
      <c r="F939" s="1607"/>
      <c r="G939" s="1608"/>
    </row>
    <row r="940" spans="1:7" ht="15" hidden="1">
      <c r="A940" s="2830"/>
      <c r="B940" s="1273"/>
      <c r="C940" s="2964" t="s">
        <v>778</v>
      </c>
      <c r="D940" s="2965"/>
      <c r="E940" s="1607">
        <f>E941</f>
        <v>4000052</v>
      </c>
      <c r="F940" s="1607">
        <f t="shared" ref="F940" si="177">F941</f>
        <v>0</v>
      </c>
      <c r="G940" s="1608">
        <f t="shared" si="173"/>
        <v>0</v>
      </c>
    </row>
    <row r="941" spans="1:7" ht="38.25" hidden="1">
      <c r="A941" s="2830"/>
      <c r="B941" s="1273"/>
      <c r="C941" s="1609" t="s">
        <v>779</v>
      </c>
      <c r="D941" s="1610" t="s">
        <v>780</v>
      </c>
      <c r="E941" s="1607">
        <v>4000052</v>
      </c>
      <c r="F941" s="1607">
        <v>0</v>
      </c>
      <c r="G941" s="1608">
        <f t="shared" si="173"/>
        <v>0</v>
      </c>
    </row>
    <row r="942" spans="1:7" ht="17.100000000000001" hidden="1" customHeight="1">
      <c r="A942" s="2830"/>
      <c r="B942" s="1273"/>
      <c r="C942" s="1366"/>
      <c r="D942" s="1376"/>
      <c r="E942" s="962"/>
      <c r="F942" s="962"/>
      <c r="G942" s="963"/>
    </row>
    <row r="943" spans="1:7" ht="17.100000000000001" customHeight="1">
      <c r="A943" s="2830"/>
      <c r="B943" s="1273"/>
      <c r="C943" s="2966" t="s">
        <v>585</v>
      </c>
      <c r="D943" s="2967"/>
      <c r="E943" s="1611">
        <f>SUM(E944:E945)</f>
        <v>14047</v>
      </c>
      <c r="F943" s="1611">
        <f t="shared" ref="F943" si="178">SUM(F944:F945)</f>
        <v>10000</v>
      </c>
      <c r="G943" s="1612">
        <f t="shared" si="173"/>
        <v>0.71189577845803376</v>
      </c>
    </row>
    <row r="944" spans="1:7" ht="17.100000000000001" customHeight="1" thickBot="1">
      <c r="A944" s="848"/>
      <c r="B944" s="1273"/>
      <c r="C944" s="1613" t="s">
        <v>691</v>
      </c>
      <c r="D944" s="1614" t="s">
        <v>622</v>
      </c>
      <c r="E944" s="1615">
        <v>14000</v>
      </c>
      <c r="F944" s="1615">
        <v>10000</v>
      </c>
      <c r="G944" s="1616">
        <f t="shared" si="173"/>
        <v>0.7142857142857143</v>
      </c>
    </row>
    <row r="945" spans="1:7" ht="54" hidden="1" customHeight="1" thickBot="1">
      <c r="A945" s="848"/>
      <c r="B945" s="1273"/>
      <c r="C945" s="1617" t="s">
        <v>777</v>
      </c>
      <c r="D945" s="1376" t="s">
        <v>584</v>
      </c>
      <c r="E945" s="1448">
        <v>47</v>
      </c>
      <c r="F945" s="1448">
        <v>0</v>
      </c>
      <c r="G945" s="963">
        <f t="shared" si="173"/>
        <v>0</v>
      </c>
    </row>
    <row r="946" spans="1:7" ht="17.100000000000001" customHeight="1" thickBot="1">
      <c r="A946" s="842" t="s">
        <v>781</v>
      </c>
      <c r="B946" s="843"/>
      <c r="C946" s="844"/>
      <c r="D946" s="845" t="s">
        <v>782</v>
      </c>
      <c r="E946" s="846">
        <f t="shared" ref="E946:F949" si="179">E947</f>
        <v>0</v>
      </c>
      <c r="F946" s="846">
        <f t="shared" si="179"/>
        <v>5000</v>
      </c>
      <c r="G946" s="847"/>
    </row>
    <row r="947" spans="1:7" ht="17.25" customHeight="1" thickBot="1">
      <c r="A947" s="848"/>
      <c r="B947" s="1072" t="s">
        <v>783</v>
      </c>
      <c r="C947" s="1073"/>
      <c r="D947" s="1074" t="s">
        <v>372</v>
      </c>
      <c r="E947" s="1075">
        <f t="shared" si="179"/>
        <v>0</v>
      </c>
      <c r="F947" s="1075">
        <f t="shared" si="179"/>
        <v>5000</v>
      </c>
      <c r="G947" s="1076"/>
    </row>
    <row r="948" spans="1:7" ht="15" customHeight="1">
      <c r="A948" s="848"/>
      <c r="B948" s="1273"/>
      <c r="C948" s="2802" t="s">
        <v>521</v>
      </c>
      <c r="D948" s="2802"/>
      <c r="E948" s="1618">
        <f t="shared" si="179"/>
        <v>0</v>
      </c>
      <c r="F948" s="1618">
        <f t="shared" si="179"/>
        <v>5000</v>
      </c>
      <c r="G948" s="963"/>
    </row>
    <row r="949" spans="1:7" ht="17.25" customHeight="1">
      <c r="A949" s="848"/>
      <c r="B949" s="1273"/>
      <c r="C949" s="2954" t="s">
        <v>522</v>
      </c>
      <c r="D949" s="2954"/>
      <c r="E949" s="1615">
        <f t="shared" si="179"/>
        <v>0</v>
      </c>
      <c r="F949" s="1615">
        <f t="shared" si="179"/>
        <v>5000</v>
      </c>
      <c r="G949" s="1619"/>
    </row>
    <row r="950" spans="1:7" ht="17.25" customHeight="1">
      <c r="A950" s="848"/>
      <c r="B950" s="1273"/>
      <c r="C950" s="2955" t="s">
        <v>534</v>
      </c>
      <c r="D950" s="2955"/>
      <c r="E950" s="1620">
        <f>E951+E952</f>
        <v>0</v>
      </c>
      <c r="F950" s="1620">
        <f>F951+F952</f>
        <v>5000</v>
      </c>
      <c r="G950" s="1621"/>
    </row>
    <row r="951" spans="1:7" ht="18" customHeight="1">
      <c r="A951" s="848"/>
      <c r="B951" s="1273"/>
      <c r="C951" s="1622" t="s">
        <v>537</v>
      </c>
      <c r="D951" s="1623" t="s">
        <v>538</v>
      </c>
      <c r="E951" s="1624">
        <v>0</v>
      </c>
      <c r="F951" s="1624">
        <v>2712</v>
      </c>
      <c r="G951" s="1625"/>
    </row>
    <row r="952" spans="1:7" ht="18" customHeight="1" thickBot="1">
      <c r="A952" s="848"/>
      <c r="B952" s="1273"/>
      <c r="C952" s="1626" t="s">
        <v>547</v>
      </c>
      <c r="D952" s="1627" t="s">
        <v>548</v>
      </c>
      <c r="E952" s="1448">
        <v>0</v>
      </c>
      <c r="F952" s="1628">
        <v>2288</v>
      </c>
      <c r="G952" s="963"/>
    </row>
    <row r="953" spans="1:7" ht="17.100000000000001" customHeight="1" thickBot="1">
      <c r="A953" s="842" t="s">
        <v>64</v>
      </c>
      <c r="B953" s="843"/>
      <c r="C953" s="844"/>
      <c r="D953" s="845" t="s">
        <v>784</v>
      </c>
      <c r="E953" s="846">
        <f>E954+E958+E966+E978+E970</f>
        <v>1319600</v>
      </c>
      <c r="F953" s="846">
        <f t="shared" ref="F953" si="180">F954+F958+F966+F978+F970</f>
        <v>1360000</v>
      </c>
      <c r="G953" s="847">
        <f t="shared" si="173"/>
        <v>1.0306153379812064</v>
      </c>
    </row>
    <row r="954" spans="1:7" ht="13.5" thickBot="1">
      <c r="A954" s="848"/>
      <c r="B954" s="1072" t="s">
        <v>65</v>
      </c>
      <c r="C954" s="1073"/>
      <c r="D954" s="1074" t="s">
        <v>785</v>
      </c>
      <c r="E954" s="1075">
        <f t="shared" ref="E954:F954" si="181">SUM(E955)</f>
        <v>350000</v>
      </c>
      <c r="F954" s="1075">
        <f t="shared" si="181"/>
        <v>350000</v>
      </c>
      <c r="G954" s="1076">
        <f t="shared" si="173"/>
        <v>1</v>
      </c>
    </row>
    <row r="955" spans="1:7" ht="17.100000000000001" customHeight="1">
      <c r="A955" s="848"/>
      <c r="B955" s="2933"/>
      <c r="C955" s="2804" t="s">
        <v>574</v>
      </c>
      <c r="D955" s="2956"/>
      <c r="E955" s="854">
        <f t="shared" ref="E955:F956" si="182">E956</f>
        <v>350000</v>
      </c>
      <c r="F955" s="854">
        <f t="shared" si="182"/>
        <v>350000</v>
      </c>
      <c r="G955" s="855">
        <f t="shared" si="173"/>
        <v>1</v>
      </c>
    </row>
    <row r="956" spans="1:7" ht="17.100000000000001" customHeight="1">
      <c r="A956" s="848"/>
      <c r="B956" s="2933"/>
      <c r="C956" s="2957" t="s">
        <v>575</v>
      </c>
      <c r="D956" s="2958"/>
      <c r="E956" s="1629">
        <f t="shared" si="182"/>
        <v>350000</v>
      </c>
      <c r="F956" s="1629">
        <f t="shared" si="182"/>
        <v>350000</v>
      </c>
      <c r="G956" s="1630">
        <f t="shared" si="173"/>
        <v>1</v>
      </c>
    </row>
    <row r="957" spans="1:7" ht="29.25" customHeight="1" thickBot="1">
      <c r="A957" s="848"/>
      <c r="B957" s="2933"/>
      <c r="C957" s="1631" t="s">
        <v>786</v>
      </c>
      <c r="D957" s="1632" t="s">
        <v>787</v>
      </c>
      <c r="E957" s="1633">
        <v>350000</v>
      </c>
      <c r="F957" s="1633">
        <v>350000</v>
      </c>
      <c r="G957" s="1634">
        <f t="shared" si="173"/>
        <v>1</v>
      </c>
    </row>
    <row r="958" spans="1:7" ht="17.100000000000001" customHeight="1" thickBot="1">
      <c r="A958" s="848"/>
      <c r="B958" s="1072" t="s">
        <v>66</v>
      </c>
      <c r="C958" s="1073"/>
      <c r="D958" s="1074" t="s">
        <v>788</v>
      </c>
      <c r="E958" s="1075">
        <f t="shared" ref="E958:F958" si="183">E959+E963</f>
        <v>150000</v>
      </c>
      <c r="F958" s="1075">
        <f t="shared" si="183"/>
        <v>150000</v>
      </c>
      <c r="G958" s="1076">
        <f t="shared" ref="G958:G1021" si="184">F958/E958</f>
        <v>1</v>
      </c>
    </row>
    <row r="959" spans="1:7" ht="17.100000000000001" hidden="1" customHeight="1">
      <c r="A959" s="848"/>
      <c r="B959" s="2806"/>
      <c r="C959" s="2802" t="s">
        <v>521</v>
      </c>
      <c r="D959" s="2940"/>
      <c r="E959" s="1635"/>
      <c r="F959" s="1635"/>
      <c r="G959" s="855" t="e">
        <f t="shared" si="184"/>
        <v>#DIV/0!</v>
      </c>
    </row>
    <row r="960" spans="1:7" ht="17.100000000000001" hidden="1" customHeight="1">
      <c r="A960" s="848"/>
      <c r="B960" s="2806"/>
      <c r="C960" s="2950" t="s">
        <v>618</v>
      </c>
      <c r="D960" s="2951"/>
      <c r="E960" s="1636"/>
      <c r="F960" s="1636"/>
      <c r="G960" s="1602" t="e">
        <f t="shared" si="184"/>
        <v>#DIV/0!</v>
      </c>
    </row>
    <row r="961" spans="1:7" ht="17.100000000000001" hidden="1" customHeight="1">
      <c r="A961" s="848"/>
      <c r="B961" s="2806"/>
      <c r="C961" s="1637" t="s">
        <v>789</v>
      </c>
      <c r="D961" s="1638" t="s">
        <v>790</v>
      </c>
      <c r="E961" s="1636"/>
      <c r="F961" s="1636"/>
      <c r="G961" s="1602" t="e">
        <f t="shared" si="184"/>
        <v>#DIV/0!</v>
      </c>
    </row>
    <row r="962" spans="1:7" ht="17.100000000000001" hidden="1" customHeight="1">
      <c r="A962" s="848"/>
      <c r="B962" s="2933"/>
      <c r="C962" s="2952"/>
      <c r="D962" s="2953"/>
      <c r="E962" s="1639"/>
      <c r="F962" s="1572"/>
      <c r="G962" s="1640" t="e">
        <f t="shared" si="184"/>
        <v>#DIV/0!</v>
      </c>
    </row>
    <row r="963" spans="1:7" ht="17.100000000000001" customHeight="1">
      <c r="A963" s="848"/>
      <c r="B963" s="2933"/>
      <c r="C963" s="2945" t="s">
        <v>574</v>
      </c>
      <c r="D963" s="2946"/>
      <c r="E963" s="1641">
        <f t="shared" ref="E963:F964" si="185">E964</f>
        <v>150000</v>
      </c>
      <c r="F963" s="1642">
        <f t="shared" si="185"/>
        <v>150000</v>
      </c>
      <c r="G963" s="1643">
        <f t="shared" si="184"/>
        <v>1</v>
      </c>
    </row>
    <row r="964" spans="1:7" ht="17.100000000000001" customHeight="1">
      <c r="A964" s="848"/>
      <c r="B964" s="2933"/>
      <c r="C964" s="2926" t="s">
        <v>575</v>
      </c>
      <c r="D964" s="2927"/>
      <c r="E964" s="1644">
        <f t="shared" si="185"/>
        <v>150000</v>
      </c>
      <c r="F964" s="1645">
        <f t="shared" si="185"/>
        <v>150000</v>
      </c>
      <c r="G964" s="1646">
        <f t="shared" si="184"/>
        <v>1</v>
      </c>
    </row>
    <row r="965" spans="1:7" ht="27" customHeight="1" thickBot="1">
      <c r="A965" s="848"/>
      <c r="B965" s="2949"/>
      <c r="C965" s="1647" t="s">
        <v>786</v>
      </c>
      <c r="D965" s="1648" t="s">
        <v>787</v>
      </c>
      <c r="E965" s="1649">
        <v>150000</v>
      </c>
      <c r="F965" s="1650">
        <v>150000</v>
      </c>
      <c r="G965" s="1651">
        <f t="shared" si="184"/>
        <v>1</v>
      </c>
    </row>
    <row r="966" spans="1:7" ht="17.25" customHeight="1" thickBot="1">
      <c r="A966" s="848"/>
      <c r="B966" s="1072" t="s">
        <v>67</v>
      </c>
      <c r="C966" s="1073"/>
      <c r="D966" s="1074" t="s">
        <v>791</v>
      </c>
      <c r="E966" s="1652">
        <f t="shared" ref="E966:F972" si="186">E967</f>
        <v>400000</v>
      </c>
      <c r="F966" s="1653">
        <f t="shared" si="186"/>
        <v>500000</v>
      </c>
      <c r="G966" s="1654">
        <f t="shared" si="184"/>
        <v>1.25</v>
      </c>
    </row>
    <row r="967" spans="1:7" ht="17.100000000000001" customHeight="1">
      <c r="A967" s="848"/>
      <c r="B967" s="2830"/>
      <c r="C967" s="2802" t="s">
        <v>574</v>
      </c>
      <c r="D967" s="2802"/>
      <c r="E967" s="1655">
        <f t="shared" si="186"/>
        <v>400000</v>
      </c>
      <c r="F967" s="1656">
        <f t="shared" si="186"/>
        <v>500000</v>
      </c>
      <c r="G967" s="1657">
        <f t="shared" si="184"/>
        <v>1.25</v>
      </c>
    </row>
    <row r="968" spans="1:7" ht="17.100000000000001" customHeight="1">
      <c r="A968" s="848"/>
      <c r="B968" s="2830"/>
      <c r="C968" s="2926" t="s">
        <v>575</v>
      </c>
      <c r="D968" s="2927"/>
      <c r="E968" s="1658">
        <f t="shared" si="186"/>
        <v>400000</v>
      </c>
      <c r="F968" s="1659">
        <f t="shared" si="186"/>
        <v>500000</v>
      </c>
      <c r="G968" s="1660">
        <f t="shared" si="184"/>
        <v>1.25</v>
      </c>
    </row>
    <row r="969" spans="1:7" ht="27" customHeight="1" thickBot="1">
      <c r="A969" s="848"/>
      <c r="B969" s="2830"/>
      <c r="C969" s="1536" t="s">
        <v>786</v>
      </c>
      <c r="D969" s="1537" t="s">
        <v>787</v>
      </c>
      <c r="E969" s="1661">
        <v>400000</v>
      </c>
      <c r="F969" s="1662">
        <v>500000</v>
      </c>
      <c r="G969" s="1663">
        <f t="shared" si="184"/>
        <v>1.25</v>
      </c>
    </row>
    <row r="970" spans="1:7" ht="18" hidden="1" customHeight="1" thickBot="1">
      <c r="A970" s="848"/>
      <c r="B970" s="1072" t="s">
        <v>792</v>
      </c>
      <c r="C970" s="1073"/>
      <c r="D970" s="1074" t="s">
        <v>793</v>
      </c>
      <c r="E970" s="1652">
        <f>E971+E975</f>
        <v>59600</v>
      </c>
      <c r="F970" s="1653">
        <f t="shared" ref="F970" si="187">F971+F975</f>
        <v>0</v>
      </c>
      <c r="G970" s="1654">
        <f t="shared" si="184"/>
        <v>0</v>
      </c>
    </row>
    <row r="971" spans="1:7" ht="18" hidden="1" customHeight="1">
      <c r="A971" s="848"/>
      <c r="B971" s="860"/>
      <c r="C971" s="2802" t="s">
        <v>521</v>
      </c>
      <c r="D971" s="2802"/>
      <c r="E971" s="1664">
        <f>E972</f>
        <v>19600</v>
      </c>
      <c r="F971" s="1665">
        <f t="shared" si="186"/>
        <v>0</v>
      </c>
      <c r="G971" s="1666">
        <f t="shared" si="184"/>
        <v>0</v>
      </c>
    </row>
    <row r="972" spans="1:7" ht="12.75" hidden="1" customHeight="1">
      <c r="A972" s="848"/>
      <c r="B972" s="860"/>
      <c r="C972" s="2926" t="s">
        <v>618</v>
      </c>
      <c r="D972" s="2926"/>
      <c r="E972" s="1658">
        <f>E973</f>
        <v>19600</v>
      </c>
      <c r="F972" s="1659">
        <f t="shared" si="186"/>
        <v>0</v>
      </c>
      <c r="G972" s="1660">
        <f t="shared" si="184"/>
        <v>0</v>
      </c>
    </row>
    <row r="973" spans="1:7" ht="26.25" hidden="1" customHeight="1">
      <c r="A973" s="848"/>
      <c r="B973" s="860"/>
      <c r="C973" s="1667" t="s">
        <v>298</v>
      </c>
      <c r="D973" s="1668" t="s">
        <v>708</v>
      </c>
      <c r="E973" s="1661">
        <v>19600</v>
      </c>
      <c r="F973" s="1662">
        <v>0</v>
      </c>
      <c r="G973" s="1663">
        <f t="shared" si="184"/>
        <v>0</v>
      </c>
    </row>
    <row r="974" spans="1:7" ht="17.25" hidden="1" customHeight="1">
      <c r="A974" s="848"/>
      <c r="B974" s="860"/>
      <c r="C974" s="2947"/>
      <c r="D974" s="2948"/>
      <c r="E974" s="1661"/>
      <c r="F974" s="1662"/>
      <c r="G974" s="1663"/>
    </row>
    <row r="975" spans="1:7" ht="15" hidden="1" customHeight="1">
      <c r="A975" s="848"/>
      <c r="B975" s="860"/>
      <c r="C975" s="2945" t="s">
        <v>574</v>
      </c>
      <c r="D975" s="2946"/>
      <c r="E975" s="1669">
        <f>E976</f>
        <v>40000</v>
      </c>
      <c r="F975" s="1670">
        <f t="shared" ref="F975:F976" si="188">F976</f>
        <v>0</v>
      </c>
      <c r="G975" s="1671">
        <f t="shared" si="184"/>
        <v>0</v>
      </c>
    </row>
    <row r="976" spans="1:7" ht="18" hidden="1" customHeight="1">
      <c r="A976" s="848"/>
      <c r="B976" s="860"/>
      <c r="C976" s="2926" t="s">
        <v>575</v>
      </c>
      <c r="D976" s="2927"/>
      <c r="E976" s="1658">
        <f>E977</f>
        <v>40000</v>
      </c>
      <c r="F976" s="1659">
        <f t="shared" si="188"/>
        <v>0</v>
      </c>
      <c r="G976" s="1660">
        <f t="shared" si="184"/>
        <v>0</v>
      </c>
    </row>
    <row r="977" spans="1:7" ht="42.75" hidden="1" customHeight="1" thickBot="1">
      <c r="A977" s="848"/>
      <c r="B977" s="860"/>
      <c r="C977" s="1647" t="s">
        <v>695</v>
      </c>
      <c r="D977" s="1648" t="s">
        <v>696</v>
      </c>
      <c r="E977" s="1649">
        <v>40000</v>
      </c>
      <c r="F977" s="1650">
        <v>0</v>
      </c>
      <c r="G977" s="1651">
        <f t="shared" si="184"/>
        <v>0</v>
      </c>
    </row>
    <row r="978" spans="1:7" ht="17.100000000000001" customHeight="1" thickBot="1">
      <c r="A978" s="848"/>
      <c r="B978" s="1072" t="s">
        <v>794</v>
      </c>
      <c r="C978" s="1073"/>
      <c r="D978" s="1074" t="s">
        <v>795</v>
      </c>
      <c r="E978" s="1652">
        <f t="shared" ref="E978:F980" si="189">E979</f>
        <v>360000</v>
      </c>
      <c r="F978" s="1653">
        <f t="shared" si="189"/>
        <v>360000</v>
      </c>
      <c r="G978" s="1654">
        <f t="shared" si="184"/>
        <v>1</v>
      </c>
    </row>
    <row r="979" spans="1:7" ht="17.100000000000001" customHeight="1">
      <c r="A979" s="848"/>
      <c r="B979" s="2806"/>
      <c r="C979" s="2802" t="s">
        <v>521</v>
      </c>
      <c r="D979" s="2802"/>
      <c r="E979" s="1655">
        <f t="shared" si="189"/>
        <v>360000</v>
      </c>
      <c r="F979" s="1656">
        <f t="shared" si="189"/>
        <v>360000</v>
      </c>
      <c r="G979" s="1657">
        <f t="shared" si="184"/>
        <v>1</v>
      </c>
    </row>
    <row r="980" spans="1:7" ht="17.100000000000001" customHeight="1">
      <c r="A980" s="848"/>
      <c r="B980" s="2806"/>
      <c r="C980" s="2926" t="s">
        <v>618</v>
      </c>
      <c r="D980" s="2926"/>
      <c r="E980" s="1658">
        <f t="shared" si="189"/>
        <v>360000</v>
      </c>
      <c r="F980" s="1659">
        <f t="shared" si="189"/>
        <v>360000</v>
      </c>
      <c r="G980" s="1660">
        <f t="shared" si="184"/>
        <v>1</v>
      </c>
    </row>
    <row r="981" spans="1:7" ht="52.5" customHeight="1" thickBot="1">
      <c r="A981" s="848"/>
      <c r="B981" s="2806"/>
      <c r="C981" s="1536" t="s">
        <v>633</v>
      </c>
      <c r="D981" s="1537" t="s">
        <v>634</v>
      </c>
      <c r="E981" s="1661">
        <v>360000</v>
      </c>
      <c r="F981" s="1662">
        <v>360000</v>
      </c>
      <c r="G981" s="1663">
        <f t="shared" si="184"/>
        <v>1</v>
      </c>
    </row>
    <row r="982" spans="1:7" ht="17.100000000000001" customHeight="1" thickBot="1">
      <c r="A982" s="842" t="s">
        <v>796</v>
      </c>
      <c r="B982" s="1205"/>
      <c r="C982" s="1206"/>
      <c r="D982" s="1207" t="s">
        <v>797</v>
      </c>
      <c r="E982" s="1672">
        <f t="shared" ref="E982:F982" si="190">E983+E987</f>
        <v>17128456</v>
      </c>
      <c r="F982" s="1673">
        <f t="shared" si="190"/>
        <v>20346866</v>
      </c>
      <c r="G982" s="1674">
        <f t="shared" si="184"/>
        <v>1.1878984305415503</v>
      </c>
    </row>
    <row r="983" spans="1:7" ht="30" customHeight="1" thickBot="1">
      <c r="A983" s="848"/>
      <c r="B983" s="1072" t="s">
        <v>798</v>
      </c>
      <c r="C983" s="1073"/>
      <c r="D983" s="1675" t="s">
        <v>799</v>
      </c>
      <c r="E983" s="1676">
        <f t="shared" ref="E983:F985" si="191">E984</f>
        <v>11000000</v>
      </c>
      <c r="F983" s="1676">
        <f t="shared" si="191"/>
        <v>9000000</v>
      </c>
      <c r="G983" s="1076">
        <f t="shared" si="184"/>
        <v>0.81818181818181823</v>
      </c>
    </row>
    <row r="984" spans="1:7" ht="17.100000000000001" customHeight="1">
      <c r="A984" s="848"/>
      <c r="B984" s="2806"/>
      <c r="C984" s="2802" t="s">
        <v>521</v>
      </c>
      <c r="D984" s="2940"/>
      <c r="E984" s="1635">
        <f t="shared" si="191"/>
        <v>11000000</v>
      </c>
      <c r="F984" s="1635">
        <f t="shared" si="191"/>
        <v>9000000</v>
      </c>
      <c r="G984" s="855">
        <f t="shared" si="184"/>
        <v>0.81818181818181823</v>
      </c>
    </row>
    <row r="985" spans="1:7" ht="17.100000000000001" customHeight="1">
      <c r="A985" s="848"/>
      <c r="B985" s="2806"/>
      <c r="C985" s="2928" t="s">
        <v>800</v>
      </c>
      <c r="D985" s="2941"/>
      <c r="E985" s="1677">
        <f t="shared" si="191"/>
        <v>11000000</v>
      </c>
      <c r="F985" s="1677">
        <f t="shared" si="191"/>
        <v>9000000</v>
      </c>
      <c r="G985" s="1472">
        <f t="shared" si="184"/>
        <v>0.81818181818181823</v>
      </c>
    </row>
    <row r="986" spans="1:7" ht="27.75" customHeight="1" thickBot="1">
      <c r="A986" s="848"/>
      <c r="B986" s="2806"/>
      <c r="C986" s="1536" t="s">
        <v>801</v>
      </c>
      <c r="D986" s="1678" t="s">
        <v>802</v>
      </c>
      <c r="E986" s="1679">
        <v>11000000</v>
      </c>
      <c r="F986" s="1679">
        <v>9000000</v>
      </c>
      <c r="G986" s="1533">
        <f t="shared" si="184"/>
        <v>0.81818181818181823</v>
      </c>
    </row>
    <row r="987" spans="1:7" ht="26.25" customHeight="1" thickBot="1">
      <c r="A987" s="848"/>
      <c r="B987" s="1072" t="s">
        <v>803</v>
      </c>
      <c r="C987" s="1073"/>
      <c r="D987" s="1675" t="s">
        <v>804</v>
      </c>
      <c r="E987" s="1676">
        <f t="shared" ref="E987:F989" si="192">E988</f>
        <v>6128456</v>
      </c>
      <c r="F987" s="1676">
        <f t="shared" si="192"/>
        <v>11346866</v>
      </c>
      <c r="G987" s="1076">
        <f t="shared" si="184"/>
        <v>1.8515048488558945</v>
      </c>
    </row>
    <row r="988" spans="1:7" ht="17.100000000000001" customHeight="1">
      <c r="A988" s="1680"/>
      <c r="B988" s="2806"/>
      <c r="C988" s="2802" t="s">
        <v>521</v>
      </c>
      <c r="D988" s="2940"/>
      <c r="E988" s="1635">
        <f t="shared" si="192"/>
        <v>6128456</v>
      </c>
      <c r="F988" s="1635">
        <f t="shared" si="192"/>
        <v>11346866</v>
      </c>
      <c r="G988" s="855">
        <f t="shared" si="184"/>
        <v>1.8515048488558945</v>
      </c>
    </row>
    <row r="989" spans="1:7" ht="17.100000000000001" customHeight="1">
      <c r="A989" s="1680"/>
      <c r="B989" s="2806"/>
      <c r="C989" s="2928" t="s">
        <v>805</v>
      </c>
      <c r="D989" s="2941"/>
      <c r="E989" s="1677">
        <f t="shared" si="192"/>
        <v>6128456</v>
      </c>
      <c r="F989" s="1677">
        <f t="shared" si="192"/>
        <v>11346866</v>
      </c>
      <c r="G989" s="1472">
        <f t="shared" si="184"/>
        <v>1.8515048488558945</v>
      </c>
    </row>
    <row r="990" spans="1:7" ht="17.100000000000001" customHeight="1" thickBot="1">
      <c r="A990" s="848"/>
      <c r="B990" s="2812"/>
      <c r="C990" s="1647" t="s">
        <v>806</v>
      </c>
      <c r="D990" s="1681" t="s">
        <v>807</v>
      </c>
      <c r="E990" s="1682">
        <v>6128456</v>
      </c>
      <c r="F990" s="1682">
        <v>11346866</v>
      </c>
      <c r="G990" s="1683">
        <f t="shared" si="184"/>
        <v>1.8515048488558945</v>
      </c>
    </row>
    <row r="991" spans="1:7" ht="17.100000000000001" customHeight="1" thickBot="1">
      <c r="A991" s="842" t="s">
        <v>808</v>
      </c>
      <c r="B991" s="843"/>
      <c r="C991" s="844"/>
      <c r="D991" s="1684" t="s">
        <v>809</v>
      </c>
      <c r="E991" s="1685">
        <f t="shared" ref="E991:F991" si="193">E992</f>
        <v>32390064</v>
      </c>
      <c r="F991" s="1686">
        <f t="shared" si="193"/>
        <v>51630004</v>
      </c>
      <c r="G991" s="847">
        <f t="shared" si="184"/>
        <v>1.5940074709330614</v>
      </c>
    </row>
    <row r="992" spans="1:7" ht="17.100000000000001" customHeight="1" thickBot="1">
      <c r="A992" s="848"/>
      <c r="B992" s="1072" t="s">
        <v>810</v>
      </c>
      <c r="C992" s="1073"/>
      <c r="D992" s="1687" t="s">
        <v>811</v>
      </c>
      <c r="E992" s="1688">
        <f t="shared" ref="E992" si="194">E993+E998</f>
        <v>32390064</v>
      </c>
      <c r="F992" s="1676">
        <f>F993+F998</f>
        <v>51630004</v>
      </c>
      <c r="G992" s="1076">
        <f t="shared" si="184"/>
        <v>1.5940074709330614</v>
      </c>
    </row>
    <row r="993" spans="1:7" ht="17.100000000000001" customHeight="1">
      <c r="A993" s="848"/>
      <c r="B993" s="2806"/>
      <c r="C993" s="2802" t="s">
        <v>521</v>
      </c>
      <c r="D993" s="2860"/>
      <c r="E993" s="1689">
        <f t="shared" ref="E993:F995" si="195">E994</f>
        <v>13704089</v>
      </c>
      <c r="F993" s="1635">
        <f t="shared" si="195"/>
        <v>18223328</v>
      </c>
      <c r="G993" s="855">
        <f t="shared" si="184"/>
        <v>1.3297730334354951</v>
      </c>
    </row>
    <row r="994" spans="1:7" ht="17.100000000000001" customHeight="1">
      <c r="A994" s="848"/>
      <c r="B994" s="2806"/>
      <c r="C994" s="2928" t="s">
        <v>522</v>
      </c>
      <c r="D994" s="2942"/>
      <c r="E994" s="1690">
        <f t="shared" si="195"/>
        <v>13704089</v>
      </c>
      <c r="F994" s="1677">
        <f t="shared" si="195"/>
        <v>18223328</v>
      </c>
      <c r="G994" s="1472">
        <f t="shared" si="184"/>
        <v>1.3297730334354951</v>
      </c>
    </row>
    <row r="995" spans="1:7" ht="17.100000000000001" customHeight="1">
      <c r="A995" s="848"/>
      <c r="B995" s="2806"/>
      <c r="C995" s="2930" t="s">
        <v>534</v>
      </c>
      <c r="D995" s="2943"/>
      <c r="E995" s="1691">
        <f t="shared" si="195"/>
        <v>13704089</v>
      </c>
      <c r="F995" s="1692">
        <f t="shared" si="195"/>
        <v>18223328</v>
      </c>
      <c r="G995" s="1474">
        <f t="shared" si="184"/>
        <v>1.3297730334354951</v>
      </c>
    </row>
    <row r="996" spans="1:7" ht="17.100000000000001" customHeight="1">
      <c r="A996" s="848"/>
      <c r="B996" s="2806"/>
      <c r="C996" s="1536" t="s">
        <v>812</v>
      </c>
      <c r="D996" s="1693" t="s">
        <v>813</v>
      </c>
      <c r="E996" s="1694">
        <v>13704089</v>
      </c>
      <c r="F996" s="1679">
        <f>19519016+21012-1316700</f>
        <v>18223328</v>
      </c>
      <c r="G996" s="1533">
        <f t="shared" si="184"/>
        <v>1.3297730334354951</v>
      </c>
    </row>
    <row r="997" spans="1:7" ht="17.100000000000001" customHeight="1">
      <c r="A997" s="848"/>
      <c r="B997" s="2806"/>
      <c r="C997" s="1695"/>
      <c r="D997" s="1696"/>
      <c r="E997" s="1696"/>
      <c r="F997" s="1696"/>
      <c r="G997" s="1697"/>
    </row>
    <row r="998" spans="1:7" ht="17.100000000000001" customHeight="1">
      <c r="A998" s="848"/>
      <c r="B998" s="2806"/>
      <c r="C998" s="2804" t="s">
        <v>574</v>
      </c>
      <c r="D998" s="2864"/>
      <c r="E998" s="1689">
        <f t="shared" ref="E998:F999" si="196">E999</f>
        <v>18685975</v>
      </c>
      <c r="F998" s="1635">
        <f t="shared" si="196"/>
        <v>33406676</v>
      </c>
      <c r="G998" s="855">
        <f t="shared" si="184"/>
        <v>1.7877941076127952</v>
      </c>
    </row>
    <row r="999" spans="1:7" ht="17.100000000000001" customHeight="1">
      <c r="A999" s="848"/>
      <c r="B999" s="2806"/>
      <c r="C999" s="2926" t="s">
        <v>575</v>
      </c>
      <c r="D999" s="2944"/>
      <c r="E999" s="1690">
        <f t="shared" si="196"/>
        <v>18685975</v>
      </c>
      <c r="F999" s="1677">
        <f t="shared" si="196"/>
        <v>33406676</v>
      </c>
      <c r="G999" s="1472">
        <f t="shared" si="184"/>
        <v>1.7877941076127952</v>
      </c>
    </row>
    <row r="1000" spans="1:7" ht="17.100000000000001" customHeight="1" thickBot="1">
      <c r="A1000" s="848"/>
      <c r="B1000" s="2812"/>
      <c r="C1000" s="1698" t="s">
        <v>814</v>
      </c>
      <c r="D1000" s="1699" t="s">
        <v>815</v>
      </c>
      <c r="E1000" s="1694">
        <v>18685975</v>
      </c>
      <c r="F1000" s="1679">
        <f>36000000-2893324+300000</f>
        <v>33406676</v>
      </c>
      <c r="G1000" s="1533">
        <f t="shared" si="184"/>
        <v>1.7877941076127952</v>
      </c>
    </row>
    <row r="1001" spans="1:7" ht="13.5" thickBot="1">
      <c r="A1001" s="842" t="s">
        <v>816</v>
      </c>
      <c r="B1001" s="843"/>
      <c r="C1001" s="1700"/>
      <c r="D1001" s="1701" t="s">
        <v>817</v>
      </c>
      <c r="E1001" s="846" t="e">
        <f>SUM(E1002,E1006,E1032,E1054,E1071,E1125,E1190,E1257,E1241,E1049)</f>
        <v>#REF!</v>
      </c>
      <c r="F1001" s="846">
        <f>SUM(F1002,F1006,F1032,F1054,F1071,F1125,F1190,F1257,F1241,F1049)</f>
        <v>54821803</v>
      </c>
      <c r="G1001" s="847" t="e">
        <f t="shared" si="184"/>
        <v>#REF!</v>
      </c>
    </row>
    <row r="1002" spans="1:7" ht="17.25" hidden="1" customHeight="1" thickBot="1">
      <c r="A1002" s="1420"/>
      <c r="B1002" s="1072" t="s">
        <v>818</v>
      </c>
      <c r="C1002" s="1073"/>
      <c r="D1002" s="1074" t="s">
        <v>819</v>
      </c>
      <c r="E1002" s="1075">
        <f>E1003</f>
        <v>30000</v>
      </c>
      <c r="F1002" s="1075">
        <f t="shared" ref="F1002:F1004" si="197">F1003</f>
        <v>0</v>
      </c>
      <c r="G1002" s="1076">
        <f t="shared" si="184"/>
        <v>0</v>
      </c>
    </row>
    <row r="1003" spans="1:7" ht="15" hidden="1" customHeight="1">
      <c r="A1003" s="1420"/>
      <c r="B1003" s="2838"/>
      <c r="C1003" s="2804" t="s">
        <v>574</v>
      </c>
      <c r="D1003" s="2936"/>
      <c r="E1003" s="1422">
        <f>E1004</f>
        <v>30000</v>
      </c>
      <c r="F1003" s="1422">
        <f t="shared" si="197"/>
        <v>0</v>
      </c>
      <c r="G1003" s="1423">
        <f t="shared" si="184"/>
        <v>0</v>
      </c>
    </row>
    <row r="1004" spans="1:7" ht="18" hidden="1" customHeight="1">
      <c r="A1004" s="1420"/>
      <c r="B1004" s="2839"/>
      <c r="C1004" s="2926" t="s">
        <v>575</v>
      </c>
      <c r="D1004" s="2937"/>
      <c r="E1004" s="1702">
        <f>E1005</f>
        <v>30000</v>
      </c>
      <c r="F1004" s="1702">
        <f t="shared" si="197"/>
        <v>0</v>
      </c>
      <c r="G1004" s="1703">
        <f t="shared" si="184"/>
        <v>0</v>
      </c>
    </row>
    <row r="1005" spans="1:7" ht="43.5" hidden="1" customHeight="1" thickBot="1">
      <c r="A1005" s="1420"/>
      <c r="B1005" s="2840"/>
      <c r="C1005" s="1036" t="s">
        <v>695</v>
      </c>
      <c r="D1005" s="1704" t="s">
        <v>696</v>
      </c>
      <c r="E1005" s="1371">
        <v>30000</v>
      </c>
      <c r="F1005" s="1371">
        <v>0</v>
      </c>
      <c r="G1005" s="1705">
        <f t="shared" si="184"/>
        <v>0</v>
      </c>
    </row>
    <row r="1006" spans="1:7" ht="17.100000000000001" customHeight="1" thickBot="1">
      <c r="A1006" s="1706"/>
      <c r="B1006" s="1072" t="s">
        <v>820</v>
      </c>
      <c r="C1006" s="1073"/>
      <c r="D1006" s="1074" t="s">
        <v>412</v>
      </c>
      <c r="E1006" s="1075" t="e">
        <f>E1007+#REF!</f>
        <v>#REF!</v>
      </c>
      <c r="F1006" s="1075">
        <f>F1007</f>
        <v>5778657</v>
      </c>
      <c r="G1006" s="1076" t="e">
        <f t="shared" si="184"/>
        <v>#REF!</v>
      </c>
    </row>
    <row r="1007" spans="1:7" ht="17.100000000000001" customHeight="1">
      <c r="A1007" s="848"/>
      <c r="B1007" s="860"/>
      <c r="C1007" s="2802" t="s">
        <v>521</v>
      </c>
      <c r="D1007" s="2802"/>
      <c r="E1007" s="854">
        <f>E1008+E1029</f>
        <v>5470693</v>
      </c>
      <c r="F1007" s="854">
        <f t="shared" ref="F1007" si="198">F1008+F1029</f>
        <v>5778657</v>
      </c>
      <c r="G1007" s="855">
        <f t="shared" si="184"/>
        <v>1.0562934165744633</v>
      </c>
    </row>
    <row r="1008" spans="1:7" ht="17.100000000000001" customHeight="1">
      <c r="A1008" s="848"/>
      <c r="B1008" s="860"/>
      <c r="C1008" s="2938" t="s">
        <v>522</v>
      </c>
      <c r="D1008" s="2938"/>
      <c r="E1008" s="1707">
        <f t="shared" ref="E1008:F1008" si="199">E1009+E1016</f>
        <v>5274393</v>
      </c>
      <c r="F1008" s="1707">
        <f t="shared" si="199"/>
        <v>5678077</v>
      </c>
      <c r="G1008" s="1708">
        <f t="shared" si="184"/>
        <v>1.0765365796594983</v>
      </c>
    </row>
    <row r="1009" spans="1:7" ht="17.100000000000001" customHeight="1">
      <c r="A1009" s="848"/>
      <c r="B1009" s="860"/>
      <c r="C1009" s="2939" t="s">
        <v>523</v>
      </c>
      <c r="D1009" s="2939"/>
      <c r="E1009" s="1709">
        <f t="shared" ref="E1009:F1009" si="200">SUM(E1010:E1014)</f>
        <v>4904468</v>
      </c>
      <c r="F1009" s="1709">
        <f t="shared" si="200"/>
        <v>5308017</v>
      </c>
      <c r="G1009" s="1710">
        <f t="shared" si="184"/>
        <v>1.0822819111063626</v>
      </c>
    </row>
    <row r="1010" spans="1:7" ht="17.100000000000001" customHeight="1">
      <c r="A1010" s="848"/>
      <c r="B1010" s="860"/>
      <c r="C1010" s="1711" t="s">
        <v>524</v>
      </c>
      <c r="D1010" s="1712" t="s">
        <v>525</v>
      </c>
      <c r="E1010" s="1707">
        <v>3767430</v>
      </c>
      <c r="F1010" s="1707">
        <v>4098310</v>
      </c>
      <c r="G1010" s="1708">
        <f t="shared" si="184"/>
        <v>1.0878264493301799</v>
      </c>
    </row>
    <row r="1011" spans="1:7" ht="17.100000000000001" customHeight="1">
      <c r="A1011" s="848"/>
      <c r="B1011" s="860"/>
      <c r="C1011" s="1711" t="s">
        <v>526</v>
      </c>
      <c r="D1011" s="1712" t="s">
        <v>527</v>
      </c>
      <c r="E1011" s="1707">
        <v>310103</v>
      </c>
      <c r="F1011" s="1707">
        <v>323747</v>
      </c>
      <c r="G1011" s="1708">
        <f t="shared" si="184"/>
        <v>1.0439982844409761</v>
      </c>
    </row>
    <row r="1012" spans="1:7" ht="17.100000000000001" customHeight="1">
      <c r="A1012" s="848"/>
      <c r="B1012" s="860"/>
      <c r="C1012" s="1711" t="s">
        <v>528</v>
      </c>
      <c r="D1012" s="1712" t="s">
        <v>529</v>
      </c>
      <c r="E1012" s="1707">
        <v>720830</v>
      </c>
      <c r="F1012" s="1707">
        <v>764553</v>
      </c>
      <c r="G1012" s="1708">
        <f t="shared" si="184"/>
        <v>1.0606564654634241</v>
      </c>
    </row>
    <row r="1013" spans="1:7" ht="17.100000000000001" customHeight="1">
      <c r="A1013" s="848"/>
      <c r="B1013" s="860"/>
      <c r="C1013" s="1711" t="s">
        <v>530</v>
      </c>
      <c r="D1013" s="1712" t="s">
        <v>531</v>
      </c>
      <c r="E1013" s="1707">
        <v>100805</v>
      </c>
      <c r="F1013" s="1707">
        <v>109167</v>
      </c>
      <c r="G1013" s="1708">
        <f t="shared" si="184"/>
        <v>1.0829522345121769</v>
      </c>
    </row>
    <row r="1014" spans="1:7" ht="17.100000000000001" customHeight="1">
      <c r="A1014" s="848"/>
      <c r="B1014" s="860"/>
      <c r="C1014" s="1711" t="s">
        <v>532</v>
      </c>
      <c r="D1014" s="1712" t="s">
        <v>821</v>
      </c>
      <c r="E1014" s="1707">
        <v>5300</v>
      </c>
      <c r="F1014" s="1707">
        <v>12240</v>
      </c>
      <c r="G1014" s="1708">
        <f t="shared" si="184"/>
        <v>2.3094339622641509</v>
      </c>
    </row>
    <row r="1015" spans="1:7" ht="17.100000000000001" customHeight="1">
      <c r="A1015" s="848"/>
      <c r="B1015" s="860"/>
      <c r="C1015" s="999"/>
      <c r="D1015" s="999"/>
      <c r="E1015" s="882"/>
      <c r="F1015" s="882"/>
      <c r="G1015" s="883"/>
    </row>
    <row r="1016" spans="1:7" ht="17.100000000000001" customHeight="1">
      <c r="A1016" s="848"/>
      <c r="B1016" s="860"/>
      <c r="C1016" s="2935" t="s">
        <v>534</v>
      </c>
      <c r="D1016" s="2935"/>
      <c r="E1016" s="1709">
        <f>SUM(E1017:E1027)</f>
        <v>369925</v>
      </c>
      <c r="F1016" s="1709">
        <f t="shared" ref="F1016" si="201">SUM(F1017:F1027)</f>
        <v>370060</v>
      </c>
      <c r="G1016" s="1710">
        <f t="shared" si="184"/>
        <v>1.0003649388389539</v>
      </c>
    </row>
    <row r="1017" spans="1:7" ht="17.100000000000001" customHeight="1">
      <c r="A1017" s="848"/>
      <c r="B1017" s="860"/>
      <c r="C1017" s="1711" t="s">
        <v>537</v>
      </c>
      <c r="D1017" s="1712" t="s">
        <v>538</v>
      </c>
      <c r="E1017" s="1707">
        <v>58362</v>
      </c>
      <c r="F1017" s="1707">
        <v>16079</v>
      </c>
      <c r="G1017" s="1708">
        <f t="shared" si="184"/>
        <v>0.27550460916349678</v>
      </c>
    </row>
    <row r="1018" spans="1:7" ht="17.100000000000001" customHeight="1">
      <c r="A1018" s="848"/>
      <c r="B1018" s="860"/>
      <c r="C1018" s="1711" t="s">
        <v>714</v>
      </c>
      <c r="D1018" s="1712" t="s">
        <v>715</v>
      </c>
      <c r="E1018" s="1707">
        <v>6342</v>
      </c>
      <c r="F1018" s="1707">
        <v>6914</v>
      </c>
      <c r="G1018" s="1708">
        <f t="shared" si="184"/>
        <v>1.0901923683380637</v>
      </c>
    </row>
    <row r="1019" spans="1:7" ht="17.100000000000001" customHeight="1">
      <c r="A1019" s="848"/>
      <c r="B1019" s="860"/>
      <c r="C1019" s="1711" t="s">
        <v>541</v>
      </c>
      <c r="D1019" s="1712" t="s">
        <v>542</v>
      </c>
      <c r="E1019" s="1707">
        <v>15000</v>
      </c>
      <c r="F1019" s="1707">
        <v>26400</v>
      </c>
      <c r="G1019" s="1708">
        <f t="shared" si="184"/>
        <v>1.76</v>
      </c>
    </row>
    <row r="1020" spans="1:7" ht="17.100000000000001" customHeight="1">
      <c r="A1020" s="848"/>
      <c r="B1020" s="860"/>
      <c r="C1020" s="1711" t="s">
        <v>543</v>
      </c>
      <c r="D1020" s="1712" t="s">
        <v>544</v>
      </c>
      <c r="E1020" s="1707">
        <v>3100</v>
      </c>
      <c r="F1020" s="1707">
        <v>3600</v>
      </c>
      <c r="G1020" s="1708">
        <f t="shared" si="184"/>
        <v>1.1612903225806452</v>
      </c>
    </row>
    <row r="1021" spans="1:7" ht="17.100000000000001" customHeight="1">
      <c r="A1021" s="848"/>
      <c r="B1021" s="860"/>
      <c r="C1021" s="1713" t="s">
        <v>545</v>
      </c>
      <c r="D1021" s="1714" t="s">
        <v>546</v>
      </c>
      <c r="E1021" s="1707">
        <v>4096</v>
      </c>
      <c r="F1021" s="1707">
        <v>6275</v>
      </c>
      <c r="G1021" s="1708">
        <f t="shared" si="184"/>
        <v>1.531982421875</v>
      </c>
    </row>
    <row r="1022" spans="1:7" ht="17.100000000000001" customHeight="1">
      <c r="A1022" s="848"/>
      <c r="B1022" s="860"/>
      <c r="C1022" s="1715" t="s">
        <v>547</v>
      </c>
      <c r="D1022" s="1716" t="s">
        <v>548</v>
      </c>
      <c r="E1022" s="1471">
        <v>18431</v>
      </c>
      <c r="F1022" s="1471">
        <v>16236</v>
      </c>
      <c r="G1022" s="1472">
        <f t="shared" ref="G1022:G1087" si="202">F1022/E1022</f>
        <v>0.88090716727252993</v>
      </c>
    </row>
    <row r="1023" spans="1:7" ht="16.5" customHeight="1">
      <c r="A1023" s="848"/>
      <c r="B1023" s="860"/>
      <c r="C1023" s="1057" t="s">
        <v>549</v>
      </c>
      <c r="D1023" s="1058" t="s">
        <v>550</v>
      </c>
      <c r="E1023" s="1471">
        <v>9373</v>
      </c>
      <c r="F1023" s="1471">
        <v>7723</v>
      </c>
      <c r="G1023" s="1472">
        <f t="shared" si="202"/>
        <v>0.82396244532166862</v>
      </c>
    </row>
    <row r="1024" spans="1:7" ht="24.75" customHeight="1">
      <c r="A1024" s="848"/>
      <c r="B1024" s="860"/>
      <c r="C1024" s="1534" t="s">
        <v>553</v>
      </c>
      <c r="D1024" s="1535" t="s">
        <v>554</v>
      </c>
      <c r="E1024" s="1471">
        <v>46390</v>
      </c>
      <c r="F1024" s="1471">
        <v>78146</v>
      </c>
      <c r="G1024" s="1472">
        <f t="shared" si="202"/>
        <v>1.6845440827764604</v>
      </c>
    </row>
    <row r="1025" spans="1:7" ht="17.100000000000001" customHeight="1">
      <c r="A1025" s="848"/>
      <c r="B1025" s="860"/>
      <c r="C1025" s="1534" t="s">
        <v>555</v>
      </c>
      <c r="D1025" s="1535" t="s">
        <v>556</v>
      </c>
      <c r="E1025" s="1471">
        <v>3225</v>
      </c>
      <c r="F1025" s="1471">
        <v>3225</v>
      </c>
      <c r="G1025" s="1472">
        <f t="shared" si="202"/>
        <v>1</v>
      </c>
    </row>
    <row r="1026" spans="1:7" ht="17.100000000000001" customHeight="1">
      <c r="A1026" s="848"/>
      <c r="B1026" s="860"/>
      <c r="C1026" s="1534" t="s">
        <v>559</v>
      </c>
      <c r="D1026" s="1535" t="s">
        <v>560</v>
      </c>
      <c r="E1026" s="1471">
        <v>202194</v>
      </c>
      <c r="F1026" s="1471">
        <v>202050</v>
      </c>
      <c r="G1026" s="1472">
        <f t="shared" si="202"/>
        <v>0.99928781269473876</v>
      </c>
    </row>
    <row r="1027" spans="1:7" ht="17.100000000000001" customHeight="1">
      <c r="A1027" s="848"/>
      <c r="B1027" s="2830"/>
      <c r="C1027" s="1534" t="s">
        <v>569</v>
      </c>
      <c r="D1027" s="1535" t="s">
        <v>570</v>
      </c>
      <c r="E1027" s="1471">
        <v>3412</v>
      </c>
      <c r="F1027" s="1471">
        <v>3412</v>
      </c>
      <c r="G1027" s="1472">
        <f t="shared" si="202"/>
        <v>1</v>
      </c>
    </row>
    <row r="1028" spans="1:7" ht="17.100000000000001" customHeight="1">
      <c r="A1028" s="848"/>
      <c r="B1028" s="2830"/>
      <c r="C1028" s="999"/>
      <c r="D1028" s="999"/>
      <c r="E1028" s="882"/>
      <c r="F1028" s="882"/>
      <c r="G1028" s="883"/>
    </row>
    <row r="1029" spans="1:7" ht="17.100000000000001" customHeight="1">
      <c r="A1029" s="848"/>
      <c r="B1029" s="2830"/>
      <c r="C1029" s="2926" t="s">
        <v>766</v>
      </c>
      <c r="D1029" s="2926"/>
      <c r="E1029" s="1471">
        <f t="shared" ref="E1029:F1029" si="203">E1030</f>
        <v>196300</v>
      </c>
      <c r="F1029" s="1471">
        <f t="shared" si="203"/>
        <v>100580</v>
      </c>
      <c r="G1029" s="1472">
        <f t="shared" si="202"/>
        <v>0.51237901171676004</v>
      </c>
    </row>
    <row r="1030" spans="1:7" ht="17.100000000000001" customHeight="1" thickBot="1">
      <c r="A1030" s="848"/>
      <c r="B1030" s="2830"/>
      <c r="C1030" s="1536" t="s">
        <v>572</v>
      </c>
      <c r="D1030" s="1537" t="s">
        <v>573</v>
      </c>
      <c r="E1030" s="1717">
        <v>196300</v>
      </c>
      <c r="F1030" s="1717">
        <v>100580</v>
      </c>
      <c r="G1030" s="1533">
        <f t="shared" si="202"/>
        <v>0.51237901171676004</v>
      </c>
    </row>
    <row r="1031" spans="1:7" ht="17.100000000000001" hidden="1" customHeight="1" thickBot="1">
      <c r="A1031" s="848"/>
      <c r="B1031" s="860"/>
      <c r="C1031" s="1718"/>
      <c r="D1031" s="1719"/>
      <c r="E1031" s="1471"/>
      <c r="F1031" s="1471"/>
      <c r="G1031" s="1472"/>
    </row>
    <row r="1032" spans="1:7" ht="17.100000000000001" customHeight="1" thickBot="1">
      <c r="A1032" s="848"/>
      <c r="B1032" s="1072" t="s">
        <v>822</v>
      </c>
      <c r="C1032" s="1073"/>
      <c r="D1032" s="1074" t="s">
        <v>823</v>
      </c>
      <c r="E1032" s="1075">
        <f t="shared" ref="E1032:F1032" si="204">E1033</f>
        <v>2304061</v>
      </c>
      <c r="F1032" s="1075">
        <f t="shared" si="204"/>
        <v>2085326</v>
      </c>
      <c r="G1032" s="1076">
        <f t="shared" si="202"/>
        <v>0.90506544748598239</v>
      </c>
    </row>
    <row r="1033" spans="1:7" ht="17.100000000000001" customHeight="1">
      <c r="A1033" s="848"/>
      <c r="B1033" s="2830"/>
      <c r="C1033" s="2802" t="s">
        <v>521</v>
      </c>
      <c r="D1033" s="2802"/>
      <c r="E1033" s="854">
        <f t="shared" ref="E1033:F1033" si="205">E1034+E1047</f>
        <v>2304061</v>
      </c>
      <c r="F1033" s="854">
        <f t="shared" si="205"/>
        <v>2085326</v>
      </c>
      <c r="G1033" s="855">
        <f t="shared" si="202"/>
        <v>0.90506544748598239</v>
      </c>
    </row>
    <row r="1034" spans="1:7" ht="17.100000000000001" customHeight="1">
      <c r="A1034" s="848"/>
      <c r="B1034" s="2830"/>
      <c r="C1034" s="2928" t="s">
        <v>522</v>
      </c>
      <c r="D1034" s="2928"/>
      <c r="E1034" s="1707">
        <f t="shared" ref="E1034:F1034" si="206">E1035+E1041</f>
        <v>2262261</v>
      </c>
      <c r="F1034" s="1707">
        <f t="shared" si="206"/>
        <v>2078144</v>
      </c>
      <c r="G1034" s="1708">
        <f t="shared" si="202"/>
        <v>0.91861372317340928</v>
      </c>
    </row>
    <row r="1035" spans="1:7" ht="17.100000000000001" customHeight="1">
      <c r="A1035" s="848"/>
      <c r="B1035" s="2830"/>
      <c r="C1035" s="2929" t="s">
        <v>523</v>
      </c>
      <c r="D1035" s="2929"/>
      <c r="E1035" s="1709">
        <f t="shared" ref="E1035:F1035" si="207">SUM(E1036:E1039)</f>
        <v>2167148</v>
      </c>
      <c r="F1035" s="1709">
        <f t="shared" si="207"/>
        <v>1992919</v>
      </c>
      <c r="G1035" s="1710">
        <f t="shared" si="202"/>
        <v>0.91960447555958336</v>
      </c>
    </row>
    <row r="1036" spans="1:7" ht="17.100000000000001" customHeight="1">
      <c r="A1036" s="848"/>
      <c r="B1036" s="2830"/>
      <c r="C1036" s="1534" t="s">
        <v>524</v>
      </c>
      <c r="D1036" s="1535" t="s">
        <v>525</v>
      </c>
      <c r="E1036" s="1707">
        <v>1657216</v>
      </c>
      <c r="F1036" s="1707">
        <v>1505512</v>
      </c>
      <c r="G1036" s="1708">
        <f t="shared" si="202"/>
        <v>0.90845852321001008</v>
      </c>
    </row>
    <row r="1037" spans="1:7" ht="17.100000000000001" customHeight="1">
      <c r="A1037" s="848"/>
      <c r="B1037" s="2830"/>
      <c r="C1037" s="1534" t="s">
        <v>526</v>
      </c>
      <c r="D1037" s="1535" t="s">
        <v>527</v>
      </c>
      <c r="E1037" s="1707">
        <v>139565</v>
      </c>
      <c r="F1037" s="1707">
        <v>136800</v>
      </c>
      <c r="G1037" s="1708">
        <f t="shared" si="202"/>
        <v>0.98018844266112559</v>
      </c>
    </row>
    <row r="1038" spans="1:7" ht="17.100000000000001" customHeight="1">
      <c r="A1038" s="848"/>
      <c r="B1038" s="2830"/>
      <c r="C1038" s="1534" t="s">
        <v>528</v>
      </c>
      <c r="D1038" s="1535" t="s">
        <v>529</v>
      </c>
      <c r="E1038" s="1707">
        <v>325525</v>
      </c>
      <c r="F1038" s="1707">
        <v>309155</v>
      </c>
      <c r="G1038" s="1708">
        <f t="shared" si="202"/>
        <v>0.94971200368635278</v>
      </c>
    </row>
    <row r="1039" spans="1:7" ht="17.100000000000001" customHeight="1">
      <c r="A1039" s="848"/>
      <c r="B1039" s="2830"/>
      <c r="C1039" s="1534" t="s">
        <v>530</v>
      </c>
      <c r="D1039" s="1535" t="s">
        <v>531</v>
      </c>
      <c r="E1039" s="1707">
        <v>44842</v>
      </c>
      <c r="F1039" s="1707">
        <v>41452</v>
      </c>
      <c r="G1039" s="1708">
        <f t="shared" si="202"/>
        <v>0.92440123098880511</v>
      </c>
    </row>
    <row r="1040" spans="1:7" ht="17.100000000000001" customHeight="1">
      <c r="A1040" s="848"/>
      <c r="B1040" s="2830"/>
      <c r="C1040" s="999"/>
      <c r="D1040" s="999"/>
      <c r="E1040" s="882"/>
      <c r="F1040" s="882"/>
      <c r="G1040" s="883"/>
    </row>
    <row r="1041" spans="1:7" ht="17.100000000000001" customHeight="1">
      <c r="A1041" s="848"/>
      <c r="B1041" s="2830"/>
      <c r="C1041" s="2930" t="s">
        <v>534</v>
      </c>
      <c r="D1041" s="2930"/>
      <c r="E1041" s="1709">
        <f t="shared" ref="E1041:F1041" si="208">SUM(E1042:E1045)</f>
        <v>95113</v>
      </c>
      <c r="F1041" s="1709">
        <f t="shared" si="208"/>
        <v>85225</v>
      </c>
      <c r="G1041" s="1710">
        <f t="shared" si="202"/>
        <v>0.89603944781470457</v>
      </c>
    </row>
    <row r="1042" spans="1:7" ht="17.100000000000001" customHeight="1">
      <c r="A1042" s="848"/>
      <c r="B1042" s="2830"/>
      <c r="C1042" s="1534" t="s">
        <v>537</v>
      </c>
      <c r="D1042" s="1535" t="s">
        <v>538</v>
      </c>
      <c r="E1042" s="1707">
        <v>2977</v>
      </c>
      <c r="F1042" s="1707">
        <v>2977</v>
      </c>
      <c r="G1042" s="1708">
        <f t="shared" si="202"/>
        <v>1</v>
      </c>
    </row>
    <row r="1043" spans="1:7" ht="17.100000000000001" customHeight="1">
      <c r="A1043" s="848"/>
      <c r="B1043" s="2830"/>
      <c r="C1043" s="1534" t="s">
        <v>714</v>
      </c>
      <c r="D1043" s="1535" t="s">
        <v>715</v>
      </c>
      <c r="E1043" s="1707">
        <v>2369</v>
      </c>
      <c r="F1043" s="1707">
        <v>2369</v>
      </c>
      <c r="G1043" s="1708">
        <f t="shared" si="202"/>
        <v>1</v>
      </c>
    </row>
    <row r="1044" spans="1:7" ht="17.100000000000001" customHeight="1">
      <c r="A1044" s="848"/>
      <c r="B1044" s="2830"/>
      <c r="C1044" s="1534" t="s">
        <v>545</v>
      </c>
      <c r="D1044" s="1535" t="s">
        <v>546</v>
      </c>
      <c r="E1044" s="1707">
        <v>1009</v>
      </c>
      <c r="F1044" s="1707">
        <v>1009</v>
      </c>
      <c r="G1044" s="1708">
        <f t="shared" si="202"/>
        <v>1</v>
      </c>
    </row>
    <row r="1045" spans="1:7" ht="17.100000000000001" customHeight="1">
      <c r="A1045" s="848"/>
      <c r="B1045" s="2830"/>
      <c r="C1045" s="1534" t="s">
        <v>559</v>
      </c>
      <c r="D1045" s="1535" t="s">
        <v>560</v>
      </c>
      <c r="E1045" s="1707">
        <v>88758</v>
      </c>
      <c r="F1045" s="1707">
        <v>78870</v>
      </c>
      <c r="G1045" s="1708">
        <f t="shared" si="202"/>
        <v>0.88859595754748866</v>
      </c>
    </row>
    <row r="1046" spans="1:7" ht="17.100000000000001" customHeight="1">
      <c r="A1046" s="848"/>
      <c r="B1046" s="2830"/>
      <c r="C1046" s="1720"/>
      <c r="D1046" s="1451"/>
      <c r="E1046" s="1260"/>
      <c r="F1046" s="1260"/>
      <c r="G1046" s="1232"/>
    </row>
    <row r="1047" spans="1:7" ht="17.100000000000001" customHeight="1">
      <c r="A1047" s="848"/>
      <c r="B1047" s="2830"/>
      <c r="C1047" s="2828" t="s">
        <v>766</v>
      </c>
      <c r="D1047" s="2828"/>
      <c r="E1047" s="1190">
        <f t="shared" ref="E1047:F1047" si="209">E1048</f>
        <v>41800</v>
      </c>
      <c r="F1047" s="1190">
        <f t="shared" si="209"/>
        <v>7182</v>
      </c>
      <c r="G1047" s="1191">
        <f t="shared" si="202"/>
        <v>0.17181818181818181</v>
      </c>
    </row>
    <row r="1048" spans="1:7" ht="17.100000000000001" customHeight="1" thickBot="1">
      <c r="A1048" s="848"/>
      <c r="B1048" s="2830"/>
      <c r="C1048" s="1721" t="s">
        <v>572</v>
      </c>
      <c r="D1048" s="1648" t="s">
        <v>573</v>
      </c>
      <c r="E1048" s="970">
        <v>41800</v>
      </c>
      <c r="F1048" s="970">
        <v>7182</v>
      </c>
      <c r="G1048" s="1683">
        <f t="shared" si="202"/>
        <v>0.17181818181818181</v>
      </c>
    </row>
    <row r="1049" spans="1:7" ht="17.100000000000001" hidden="1" customHeight="1" thickBot="1">
      <c r="A1049" s="848"/>
      <c r="B1049" s="1072" t="s">
        <v>824</v>
      </c>
      <c r="C1049" s="1073"/>
      <c r="D1049" s="1074" t="s">
        <v>414</v>
      </c>
      <c r="E1049" s="1075">
        <f>E1050</f>
        <v>8100</v>
      </c>
      <c r="F1049" s="1075">
        <f t="shared" ref="F1049" si="210">F1050</f>
        <v>0</v>
      </c>
      <c r="G1049" s="1076">
        <f t="shared" si="202"/>
        <v>0</v>
      </c>
    </row>
    <row r="1050" spans="1:7" ht="17.100000000000001" hidden="1" customHeight="1">
      <c r="A1050" s="848"/>
      <c r="B1050" s="860"/>
      <c r="C1050" s="2802" t="s">
        <v>521</v>
      </c>
      <c r="D1050" s="2802"/>
      <c r="E1050" s="962">
        <f>E1051</f>
        <v>8100</v>
      </c>
      <c r="F1050" s="962">
        <f>F1051</f>
        <v>0</v>
      </c>
      <c r="G1050" s="963">
        <f>F1050/E1050</f>
        <v>0</v>
      </c>
    </row>
    <row r="1051" spans="1:7" ht="17.100000000000001" hidden="1" customHeight="1">
      <c r="A1051" s="848"/>
      <c r="B1051" s="860"/>
      <c r="C1051" s="2928" t="s">
        <v>522</v>
      </c>
      <c r="D1051" s="2928"/>
      <c r="E1051" s="1717">
        <f>E1052</f>
        <v>8100</v>
      </c>
      <c r="F1051" s="1717">
        <f>F1052</f>
        <v>0</v>
      </c>
      <c r="G1051" s="1533">
        <f t="shared" ref="G1051:G1053" si="211">F1051/E1051</f>
        <v>0</v>
      </c>
    </row>
    <row r="1052" spans="1:7" ht="17.100000000000001" hidden="1" customHeight="1">
      <c r="A1052" s="848"/>
      <c r="B1052" s="860"/>
      <c r="C1052" s="2930" t="s">
        <v>534</v>
      </c>
      <c r="D1052" s="2930"/>
      <c r="E1052" s="1717">
        <f>E1053</f>
        <v>8100</v>
      </c>
      <c r="F1052" s="1717">
        <f>F1053</f>
        <v>0</v>
      </c>
      <c r="G1052" s="1533">
        <f t="shared" si="211"/>
        <v>0</v>
      </c>
    </row>
    <row r="1053" spans="1:7" ht="17.100000000000001" hidden="1" customHeight="1" thickBot="1">
      <c r="A1053" s="848"/>
      <c r="B1053" s="860"/>
      <c r="C1053" s="1534" t="s">
        <v>714</v>
      </c>
      <c r="D1053" s="1535" t="s">
        <v>715</v>
      </c>
      <c r="E1053" s="970">
        <v>8100</v>
      </c>
      <c r="F1053" s="970">
        <v>0</v>
      </c>
      <c r="G1053" s="1683">
        <f t="shared" si="211"/>
        <v>0</v>
      </c>
    </row>
    <row r="1054" spans="1:7" ht="17.100000000000001" customHeight="1" thickBot="1">
      <c r="A1054" s="848"/>
      <c r="B1054" s="1072" t="s">
        <v>825</v>
      </c>
      <c r="C1054" s="1073"/>
      <c r="D1054" s="1074" t="s">
        <v>826</v>
      </c>
      <c r="E1054" s="1075">
        <f t="shared" ref="E1054:F1054" si="212">E1055</f>
        <v>639506</v>
      </c>
      <c r="F1054" s="1075">
        <f t="shared" si="212"/>
        <v>675619</v>
      </c>
      <c r="G1054" s="1076">
        <f t="shared" si="202"/>
        <v>1.0564701503973379</v>
      </c>
    </row>
    <row r="1055" spans="1:7" ht="17.100000000000001" customHeight="1">
      <c r="A1055" s="848"/>
      <c r="B1055" s="2806"/>
      <c r="C1055" s="2802" t="s">
        <v>521</v>
      </c>
      <c r="D1055" s="2802"/>
      <c r="E1055" s="854">
        <f t="shared" ref="E1055:F1055" si="213">E1056+E1069</f>
        <v>639506</v>
      </c>
      <c r="F1055" s="854">
        <f t="shared" si="213"/>
        <v>675619</v>
      </c>
      <c r="G1055" s="855">
        <f t="shared" si="202"/>
        <v>1.0564701503973379</v>
      </c>
    </row>
    <row r="1056" spans="1:7" ht="17.100000000000001" customHeight="1">
      <c r="A1056" s="848"/>
      <c r="B1056" s="2806"/>
      <c r="C1056" s="2928" t="s">
        <v>522</v>
      </c>
      <c r="D1056" s="2928"/>
      <c r="E1056" s="1707">
        <f t="shared" ref="E1056:F1056" si="214">E1057+E1063</f>
        <v>638915</v>
      </c>
      <c r="F1056" s="1707">
        <f t="shared" si="214"/>
        <v>675181</v>
      </c>
      <c r="G1056" s="1708">
        <f t="shared" si="202"/>
        <v>1.0567618540807462</v>
      </c>
    </row>
    <row r="1057" spans="1:7" ht="17.100000000000001" customHeight="1">
      <c r="A1057" s="848"/>
      <c r="B1057" s="2806"/>
      <c r="C1057" s="2929" t="s">
        <v>523</v>
      </c>
      <c r="D1057" s="2929"/>
      <c r="E1057" s="1709">
        <f t="shared" ref="E1057:F1057" si="215">SUM(E1058:E1061)</f>
        <v>602205</v>
      </c>
      <c r="F1057" s="1709">
        <f t="shared" si="215"/>
        <v>638471</v>
      </c>
      <c r="G1057" s="1710">
        <f t="shared" si="202"/>
        <v>1.0602220174193173</v>
      </c>
    </row>
    <row r="1058" spans="1:7" ht="17.100000000000001" customHeight="1">
      <c r="A1058" s="848"/>
      <c r="B1058" s="2806"/>
      <c r="C1058" s="1534" t="s">
        <v>524</v>
      </c>
      <c r="D1058" s="1535" t="s">
        <v>525</v>
      </c>
      <c r="E1058" s="1707">
        <v>460840</v>
      </c>
      <c r="F1058" s="1707">
        <v>491199</v>
      </c>
      <c r="G1058" s="1708">
        <f t="shared" si="202"/>
        <v>1.0658775279923618</v>
      </c>
    </row>
    <row r="1059" spans="1:7" ht="17.100000000000001" customHeight="1">
      <c r="A1059" s="848"/>
      <c r="B1059" s="2806"/>
      <c r="C1059" s="1534" t="s">
        <v>526</v>
      </c>
      <c r="D1059" s="1535" t="s">
        <v>527</v>
      </c>
      <c r="E1059" s="1707">
        <v>42786</v>
      </c>
      <c r="F1059" s="1707">
        <v>42786</v>
      </c>
      <c r="G1059" s="1708">
        <f t="shared" si="202"/>
        <v>1</v>
      </c>
    </row>
    <row r="1060" spans="1:7" ht="17.100000000000001" customHeight="1">
      <c r="A1060" s="848"/>
      <c r="B1060" s="2806"/>
      <c r="C1060" s="1534" t="s">
        <v>528</v>
      </c>
      <c r="D1060" s="1535" t="s">
        <v>529</v>
      </c>
      <c r="E1060" s="1707">
        <v>86226</v>
      </c>
      <c r="F1060" s="1707">
        <v>91393</v>
      </c>
      <c r="G1060" s="1708">
        <f t="shared" si="202"/>
        <v>1.0599239208591376</v>
      </c>
    </row>
    <row r="1061" spans="1:7" ht="17.100000000000001" customHeight="1">
      <c r="A1061" s="848"/>
      <c r="B1061" s="2806"/>
      <c r="C1061" s="1534" t="s">
        <v>530</v>
      </c>
      <c r="D1061" s="1535" t="s">
        <v>531</v>
      </c>
      <c r="E1061" s="1707">
        <v>12353</v>
      </c>
      <c r="F1061" s="1707">
        <v>13093</v>
      </c>
      <c r="G1061" s="1708">
        <f t="shared" si="202"/>
        <v>1.0599044766453494</v>
      </c>
    </row>
    <row r="1062" spans="1:7" ht="17.100000000000001" customHeight="1">
      <c r="A1062" s="848"/>
      <c r="B1062" s="2806"/>
      <c r="C1062" s="999"/>
      <c r="D1062" s="999"/>
      <c r="E1062" s="882"/>
      <c r="F1062" s="882"/>
      <c r="G1062" s="883"/>
    </row>
    <row r="1063" spans="1:7" ht="17.100000000000001" customHeight="1">
      <c r="A1063" s="848"/>
      <c r="B1063" s="2806"/>
      <c r="C1063" s="2930" t="s">
        <v>534</v>
      </c>
      <c r="D1063" s="2930"/>
      <c r="E1063" s="1709">
        <f t="shared" ref="E1063:F1063" si="216">SUM(E1064:E1067)</f>
        <v>36710</v>
      </c>
      <c r="F1063" s="1709">
        <f t="shared" si="216"/>
        <v>36710</v>
      </c>
      <c r="G1063" s="1710">
        <f t="shared" si="202"/>
        <v>1</v>
      </c>
    </row>
    <row r="1064" spans="1:7" ht="17.100000000000001" customHeight="1">
      <c r="A1064" s="848"/>
      <c r="B1064" s="2806"/>
      <c r="C1064" s="1534" t="s">
        <v>537</v>
      </c>
      <c r="D1064" s="1535" t="s">
        <v>538</v>
      </c>
      <c r="E1064" s="1707">
        <v>4223</v>
      </c>
      <c r="F1064" s="1707">
        <v>4223</v>
      </c>
      <c r="G1064" s="1708">
        <f t="shared" si="202"/>
        <v>1</v>
      </c>
    </row>
    <row r="1065" spans="1:7" ht="17.100000000000001" customHeight="1">
      <c r="A1065" s="848"/>
      <c r="B1065" s="2806"/>
      <c r="C1065" s="1534" t="s">
        <v>714</v>
      </c>
      <c r="D1065" s="1535" t="s">
        <v>715</v>
      </c>
      <c r="E1065" s="1707">
        <v>4030</v>
      </c>
      <c r="F1065" s="1707">
        <v>4030</v>
      </c>
      <c r="G1065" s="1708">
        <f t="shared" si="202"/>
        <v>1</v>
      </c>
    </row>
    <row r="1066" spans="1:7" ht="17.100000000000001" customHeight="1">
      <c r="A1066" s="848"/>
      <c r="B1066" s="2806"/>
      <c r="C1066" s="1534" t="s">
        <v>545</v>
      </c>
      <c r="D1066" s="1535" t="s">
        <v>546</v>
      </c>
      <c r="E1066" s="1707">
        <v>387</v>
      </c>
      <c r="F1066" s="1707">
        <v>387</v>
      </c>
      <c r="G1066" s="1708">
        <f t="shared" si="202"/>
        <v>1</v>
      </c>
    </row>
    <row r="1067" spans="1:7" ht="17.100000000000001" customHeight="1">
      <c r="A1067" s="848"/>
      <c r="B1067" s="2806"/>
      <c r="C1067" s="1534" t="s">
        <v>559</v>
      </c>
      <c r="D1067" s="1535" t="s">
        <v>560</v>
      </c>
      <c r="E1067" s="1707">
        <v>28070</v>
      </c>
      <c r="F1067" s="1707">
        <v>28070</v>
      </c>
      <c r="G1067" s="1708">
        <f t="shared" si="202"/>
        <v>1</v>
      </c>
    </row>
    <row r="1068" spans="1:7" ht="17.100000000000001" customHeight="1">
      <c r="A1068" s="848"/>
      <c r="B1068" s="2933"/>
      <c r="C1068" s="999"/>
      <c r="D1068" s="1048"/>
      <c r="E1068" s="1049"/>
      <c r="F1068" s="1049"/>
      <c r="G1068" s="1050"/>
    </row>
    <row r="1069" spans="1:7" ht="17.100000000000001" customHeight="1">
      <c r="A1069" s="848"/>
      <c r="B1069" s="2933"/>
      <c r="C1069" s="2926" t="s">
        <v>766</v>
      </c>
      <c r="D1069" s="2934"/>
      <c r="E1069" s="1707">
        <f t="shared" ref="E1069:F1069" si="217">E1070</f>
        <v>591</v>
      </c>
      <c r="F1069" s="1707">
        <f t="shared" si="217"/>
        <v>438</v>
      </c>
      <c r="G1069" s="1708">
        <f t="shared" si="202"/>
        <v>0.74111675126903553</v>
      </c>
    </row>
    <row r="1070" spans="1:7" ht="17.100000000000001" customHeight="1" thickBot="1">
      <c r="A1070" s="848"/>
      <c r="B1070" s="2933"/>
      <c r="C1070" s="1536" t="s">
        <v>572</v>
      </c>
      <c r="D1070" s="1537" t="s">
        <v>573</v>
      </c>
      <c r="E1070" s="1717">
        <v>591</v>
      </c>
      <c r="F1070" s="1717">
        <v>438</v>
      </c>
      <c r="G1070" s="1533">
        <f t="shared" si="202"/>
        <v>0.74111675126903553</v>
      </c>
    </row>
    <row r="1071" spans="1:7" ht="17.100000000000001" customHeight="1" thickBot="1">
      <c r="A1071" s="848"/>
      <c r="B1071" s="1072" t="s">
        <v>827</v>
      </c>
      <c r="C1071" s="1073"/>
      <c r="D1071" s="1074" t="s">
        <v>415</v>
      </c>
      <c r="E1071" s="1075">
        <f>SUM(E1072,E1121)</f>
        <v>17035099</v>
      </c>
      <c r="F1071" s="1075">
        <f t="shared" ref="F1071" si="218">SUM(F1072,F1121)</f>
        <v>16986518</v>
      </c>
      <c r="G1071" s="1076">
        <f t="shared" si="202"/>
        <v>0.99714818211505551</v>
      </c>
    </row>
    <row r="1072" spans="1:7" ht="17.100000000000001" customHeight="1">
      <c r="A1072" s="848"/>
      <c r="B1072" s="860"/>
      <c r="C1072" s="2802" t="s">
        <v>521</v>
      </c>
      <c r="D1072" s="2802"/>
      <c r="E1072" s="854">
        <f>E1073+E1099+E1103</f>
        <v>17002099</v>
      </c>
      <c r="F1072" s="854">
        <f t="shared" ref="F1072" si="219">F1073+F1099+F1103</f>
        <v>16961518</v>
      </c>
      <c r="G1072" s="855">
        <f t="shared" si="202"/>
        <v>0.99761317705537411</v>
      </c>
    </row>
    <row r="1073" spans="1:7" ht="17.100000000000001" customHeight="1">
      <c r="A1073" s="848"/>
      <c r="B1073" s="860"/>
      <c r="C1073" s="2928" t="s">
        <v>522</v>
      </c>
      <c r="D1073" s="2928"/>
      <c r="E1073" s="1707">
        <f t="shared" ref="E1073:F1073" si="220">E1074+E1081</f>
        <v>16231003</v>
      </c>
      <c r="F1073" s="1707">
        <f t="shared" si="220"/>
        <v>16785923</v>
      </c>
      <c r="G1073" s="1708">
        <f t="shared" si="202"/>
        <v>1.0341888914689992</v>
      </c>
    </row>
    <row r="1074" spans="1:7" ht="17.100000000000001" customHeight="1">
      <c r="A1074" s="848"/>
      <c r="B1074" s="860"/>
      <c r="C1074" s="2929" t="s">
        <v>523</v>
      </c>
      <c r="D1074" s="2929"/>
      <c r="E1074" s="1709">
        <f t="shared" ref="E1074:F1074" si="221">SUM(E1075:E1079)</f>
        <v>14326183</v>
      </c>
      <c r="F1074" s="1709">
        <f t="shared" si="221"/>
        <v>14727178</v>
      </c>
      <c r="G1074" s="1710">
        <f t="shared" si="202"/>
        <v>1.0279903586321633</v>
      </c>
    </row>
    <row r="1075" spans="1:7" ht="17.100000000000001" customHeight="1">
      <c r="A1075" s="848"/>
      <c r="B1075" s="860"/>
      <c r="C1075" s="1534" t="s">
        <v>524</v>
      </c>
      <c r="D1075" s="1535" t="s">
        <v>525</v>
      </c>
      <c r="E1075" s="1707">
        <v>11115313</v>
      </c>
      <c r="F1075" s="1707">
        <v>11443849</v>
      </c>
      <c r="G1075" s="1708">
        <f t="shared" si="202"/>
        <v>1.02955706240571</v>
      </c>
    </row>
    <row r="1076" spans="1:7" ht="17.100000000000001" customHeight="1">
      <c r="A1076" s="848"/>
      <c r="B1076" s="860"/>
      <c r="C1076" s="1534" t="s">
        <v>526</v>
      </c>
      <c r="D1076" s="1535" t="s">
        <v>527</v>
      </c>
      <c r="E1076" s="1707">
        <v>890802</v>
      </c>
      <c r="F1076" s="1707">
        <v>896804</v>
      </c>
      <c r="G1076" s="1708">
        <f t="shared" si="202"/>
        <v>1.0067377486804026</v>
      </c>
    </row>
    <row r="1077" spans="1:7" ht="17.100000000000001" customHeight="1">
      <c r="A1077" s="848"/>
      <c r="B1077" s="860"/>
      <c r="C1077" s="1534" t="s">
        <v>528</v>
      </c>
      <c r="D1077" s="1535" t="s">
        <v>529</v>
      </c>
      <c r="E1077" s="1707">
        <v>2009420</v>
      </c>
      <c r="F1077" s="1707">
        <v>2061490</v>
      </c>
      <c r="G1077" s="1708">
        <f t="shared" si="202"/>
        <v>1.0259129500054742</v>
      </c>
    </row>
    <row r="1078" spans="1:7" ht="17.100000000000001" customHeight="1">
      <c r="A1078" s="848"/>
      <c r="B1078" s="860"/>
      <c r="C1078" s="1534" t="s">
        <v>530</v>
      </c>
      <c r="D1078" s="1535" t="s">
        <v>531</v>
      </c>
      <c r="E1078" s="1707">
        <v>264383</v>
      </c>
      <c r="F1078" s="1707">
        <v>277115</v>
      </c>
      <c r="G1078" s="1708">
        <f t="shared" si="202"/>
        <v>1.0481574080027838</v>
      </c>
    </row>
    <row r="1079" spans="1:7" ht="17.100000000000001" customHeight="1">
      <c r="A1079" s="848"/>
      <c r="B1079" s="860"/>
      <c r="C1079" s="1536" t="s">
        <v>532</v>
      </c>
      <c r="D1079" s="1537" t="s">
        <v>533</v>
      </c>
      <c r="E1079" s="1707">
        <v>46265</v>
      </c>
      <c r="F1079" s="1707">
        <v>47920</v>
      </c>
      <c r="G1079" s="1708">
        <f t="shared" si="202"/>
        <v>1.0357721819950287</v>
      </c>
    </row>
    <row r="1080" spans="1:7" ht="17.100000000000001" customHeight="1">
      <c r="A1080" s="848"/>
      <c r="B1080" s="860"/>
      <c r="C1080" s="1722"/>
      <c r="D1080" s="1722"/>
      <c r="E1080" s="1723"/>
      <c r="F1080" s="1723"/>
      <c r="G1080" s="1533"/>
    </row>
    <row r="1081" spans="1:7" ht="17.100000000000001" customHeight="1">
      <c r="A1081" s="848"/>
      <c r="B1081" s="860"/>
      <c r="C1081" s="2930" t="s">
        <v>534</v>
      </c>
      <c r="D1081" s="2930"/>
      <c r="E1081" s="1724">
        <f>SUM(E1082:E1097)</f>
        <v>1904820</v>
      </c>
      <c r="F1081" s="1724">
        <f t="shared" ref="F1081" si="222">SUM(F1082:F1097)</f>
        <v>2058745</v>
      </c>
      <c r="G1081" s="1725">
        <f t="shared" si="202"/>
        <v>1.0808081603511093</v>
      </c>
    </row>
    <row r="1082" spans="1:7" ht="17.100000000000001" customHeight="1">
      <c r="A1082" s="848"/>
      <c r="B1082" s="860"/>
      <c r="C1082" s="1534" t="s">
        <v>535</v>
      </c>
      <c r="D1082" s="1535" t="s">
        <v>536</v>
      </c>
      <c r="E1082" s="1707">
        <v>29600</v>
      </c>
      <c r="F1082" s="1707">
        <v>29600</v>
      </c>
      <c r="G1082" s="1708">
        <f t="shared" si="202"/>
        <v>1</v>
      </c>
    </row>
    <row r="1083" spans="1:7" ht="17.100000000000001" customHeight="1">
      <c r="A1083" s="848"/>
      <c r="B1083" s="860"/>
      <c r="C1083" s="1534" t="s">
        <v>537</v>
      </c>
      <c r="D1083" s="1535" t="s">
        <v>538</v>
      </c>
      <c r="E1083" s="1707">
        <v>148161</v>
      </c>
      <c r="F1083" s="1707">
        <v>168925</v>
      </c>
      <c r="G1083" s="1708">
        <f t="shared" si="202"/>
        <v>1.1401448424349188</v>
      </c>
    </row>
    <row r="1084" spans="1:7" ht="17.100000000000001" customHeight="1">
      <c r="A1084" s="848"/>
      <c r="B1084" s="860"/>
      <c r="C1084" s="1534" t="s">
        <v>714</v>
      </c>
      <c r="D1084" s="1535" t="s">
        <v>715</v>
      </c>
      <c r="E1084" s="1707">
        <v>80280</v>
      </c>
      <c r="F1084" s="1707">
        <v>101400</v>
      </c>
      <c r="G1084" s="1708">
        <f t="shared" si="202"/>
        <v>1.2630792227204783</v>
      </c>
    </row>
    <row r="1085" spans="1:7" ht="17.100000000000001" customHeight="1">
      <c r="A1085" s="848"/>
      <c r="B1085" s="860"/>
      <c r="C1085" s="1534" t="s">
        <v>541</v>
      </c>
      <c r="D1085" s="1535" t="s">
        <v>542</v>
      </c>
      <c r="E1085" s="1707">
        <v>586872</v>
      </c>
      <c r="F1085" s="1707">
        <v>591193</v>
      </c>
      <c r="G1085" s="1708">
        <f t="shared" si="202"/>
        <v>1.0073627639417113</v>
      </c>
    </row>
    <row r="1086" spans="1:7" ht="17.100000000000001" customHeight="1">
      <c r="A1086" s="848"/>
      <c r="B1086" s="860"/>
      <c r="C1086" s="1534" t="s">
        <v>543</v>
      </c>
      <c r="D1086" s="1535" t="s">
        <v>544</v>
      </c>
      <c r="E1086" s="1707">
        <v>30200</v>
      </c>
      <c r="F1086" s="1707">
        <v>88790</v>
      </c>
      <c r="G1086" s="1708">
        <f t="shared" si="202"/>
        <v>2.9400662251655629</v>
      </c>
    </row>
    <row r="1087" spans="1:7" ht="17.100000000000001" customHeight="1">
      <c r="A1087" s="848"/>
      <c r="B1087" s="860"/>
      <c r="C1087" s="1534" t="s">
        <v>545</v>
      </c>
      <c r="D1087" s="1535" t="s">
        <v>546</v>
      </c>
      <c r="E1087" s="1707">
        <v>16146</v>
      </c>
      <c r="F1087" s="1707">
        <v>16439</v>
      </c>
      <c r="G1087" s="1708">
        <f t="shared" si="202"/>
        <v>1.0181469094512572</v>
      </c>
    </row>
    <row r="1088" spans="1:7" ht="17.100000000000001" customHeight="1">
      <c r="A1088" s="848"/>
      <c r="B1088" s="860"/>
      <c r="C1088" s="1534" t="s">
        <v>547</v>
      </c>
      <c r="D1088" s="1535" t="s">
        <v>548</v>
      </c>
      <c r="E1088" s="1707">
        <v>297658</v>
      </c>
      <c r="F1088" s="1707">
        <v>366278</v>
      </c>
      <c r="G1088" s="1708">
        <f t="shared" ref="G1088:G1152" si="223">F1088/E1088</f>
        <v>1.2305330278373166</v>
      </c>
    </row>
    <row r="1089" spans="1:7" ht="25.5" hidden="1">
      <c r="A1089" s="848"/>
      <c r="B1089" s="860"/>
      <c r="C1089" s="1534" t="s">
        <v>828</v>
      </c>
      <c r="D1089" s="1535" t="s">
        <v>829</v>
      </c>
      <c r="E1089" s="1707">
        <v>0</v>
      </c>
      <c r="F1089" s="1707">
        <v>0</v>
      </c>
      <c r="G1089" s="1708"/>
    </row>
    <row r="1090" spans="1:7" ht="16.5" customHeight="1">
      <c r="A1090" s="848"/>
      <c r="B1090" s="860"/>
      <c r="C1090" s="1534" t="s">
        <v>549</v>
      </c>
      <c r="D1090" s="1535" t="s">
        <v>550</v>
      </c>
      <c r="E1090" s="1707">
        <v>27830</v>
      </c>
      <c r="F1090" s="1707">
        <v>27890</v>
      </c>
      <c r="G1090" s="1708">
        <f t="shared" si="223"/>
        <v>1.0021559468199785</v>
      </c>
    </row>
    <row r="1091" spans="1:7" ht="16.5" customHeight="1">
      <c r="A1091" s="848"/>
      <c r="B1091" s="860"/>
      <c r="C1091" s="1534" t="s">
        <v>551</v>
      </c>
      <c r="D1091" s="1535" t="s">
        <v>552</v>
      </c>
      <c r="E1091" s="1707">
        <v>80</v>
      </c>
      <c r="F1091" s="1707">
        <v>1580</v>
      </c>
      <c r="G1091" s="1708">
        <f t="shared" si="223"/>
        <v>19.75</v>
      </c>
    </row>
    <row r="1092" spans="1:7" ht="27.75" customHeight="1">
      <c r="A1092" s="848"/>
      <c r="B1092" s="860"/>
      <c r="C1092" s="1534" t="s">
        <v>553</v>
      </c>
      <c r="D1092" s="1535" t="s">
        <v>554</v>
      </c>
      <c r="E1092" s="1707">
        <v>9042</v>
      </c>
      <c r="F1092" s="1707">
        <v>9042</v>
      </c>
      <c r="G1092" s="1708">
        <f t="shared" si="223"/>
        <v>1</v>
      </c>
    </row>
    <row r="1093" spans="1:7" ht="17.100000000000001" customHeight="1">
      <c r="A1093" s="848"/>
      <c r="B1093" s="860"/>
      <c r="C1093" s="1534" t="s">
        <v>555</v>
      </c>
      <c r="D1093" s="1535" t="s">
        <v>556</v>
      </c>
      <c r="E1093" s="1707">
        <v>16840</v>
      </c>
      <c r="F1093" s="1707">
        <v>17840</v>
      </c>
      <c r="G1093" s="1708">
        <f t="shared" si="223"/>
        <v>1.0593824228028503</v>
      </c>
    </row>
    <row r="1094" spans="1:7" ht="17.100000000000001" customHeight="1">
      <c r="A1094" s="848"/>
      <c r="B1094" s="860"/>
      <c r="C1094" s="1534" t="s">
        <v>557</v>
      </c>
      <c r="D1094" s="1535" t="s">
        <v>558</v>
      </c>
      <c r="E1094" s="1707">
        <v>23670</v>
      </c>
      <c r="F1094" s="1707">
        <v>23170</v>
      </c>
      <c r="G1094" s="1708">
        <f t="shared" si="223"/>
        <v>0.9788762146176595</v>
      </c>
    </row>
    <row r="1095" spans="1:7" ht="17.100000000000001" customHeight="1">
      <c r="A1095" s="848"/>
      <c r="B1095" s="860"/>
      <c r="C1095" s="1534" t="s">
        <v>559</v>
      </c>
      <c r="D1095" s="1535" t="s">
        <v>560</v>
      </c>
      <c r="E1095" s="1707">
        <v>601408</v>
      </c>
      <c r="F1095" s="1707">
        <v>577263</v>
      </c>
      <c r="G1095" s="1708">
        <f t="shared" si="223"/>
        <v>0.95985254602532721</v>
      </c>
    </row>
    <row r="1096" spans="1:7" ht="17.100000000000001" customHeight="1">
      <c r="A1096" s="848"/>
      <c r="B1096" s="860"/>
      <c r="C1096" s="1534" t="s">
        <v>565</v>
      </c>
      <c r="D1096" s="1535" t="s">
        <v>830</v>
      </c>
      <c r="E1096" s="1707">
        <v>24193</v>
      </c>
      <c r="F1096" s="1707">
        <v>26495</v>
      </c>
      <c r="G1096" s="1708">
        <f t="shared" si="223"/>
        <v>1.0951514901004422</v>
      </c>
    </row>
    <row r="1097" spans="1:7" ht="17.100000000000001" customHeight="1">
      <c r="A1097" s="848"/>
      <c r="B1097" s="860"/>
      <c r="C1097" s="1534" t="s">
        <v>569</v>
      </c>
      <c r="D1097" s="1535" t="s">
        <v>570</v>
      </c>
      <c r="E1097" s="1707">
        <v>12840</v>
      </c>
      <c r="F1097" s="1707">
        <v>12840</v>
      </c>
      <c r="G1097" s="1708">
        <f t="shared" si="223"/>
        <v>1</v>
      </c>
    </row>
    <row r="1098" spans="1:7" ht="17.100000000000001" customHeight="1">
      <c r="A1098" s="848"/>
      <c r="B1098" s="860"/>
      <c r="C1098" s="999"/>
      <c r="D1098" s="999"/>
      <c r="E1098" s="882"/>
      <c r="F1098" s="882"/>
      <c r="G1098" s="883"/>
    </row>
    <row r="1099" spans="1:7" ht="17.100000000000001" customHeight="1">
      <c r="A1099" s="848"/>
      <c r="B1099" s="860"/>
      <c r="C1099" s="2926" t="s">
        <v>766</v>
      </c>
      <c r="D1099" s="2926"/>
      <c r="E1099" s="1707">
        <f>E1100+E1101</f>
        <v>478696</v>
      </c>
      <c r="F1099" s="1707">
        <f t="shared" ref="F1099" si="224">F1100+F1101</f>
        <v>47632</v>
      </c>
      <c r="G1099" s="1708">
        <f t="shared" si="223"/>
        <v>9.9503651586810835E-2</v>
      </c>
    </row>
    <row r="1100" spans="1:7" ht="17.100000000000001" customHeight="1">
      <c r="A1100" s="848"/>
      <c r="B1100" s="860"/>
      <c r="C1100" s="1726" t="s">
        <v>572</v>
      </c>
      <c r="D1100" s="1668" t="s">
        <v>573</v>
      </c>
      <c r="E1100" s="1707">
        <v>79696</v>
      </c>
      <c r="F1100" s="1707">
        <v>47632</v>
      </c>
      <c r="G1100" s="1708">
        <f t="shared" si="223"/>
        <v>0.59767115037141139</v>
      </c>
    </row>
    <row r="1101" spans="1:7" ht="17.100000000000001" hidden="1" customHeight="1">
      <c r="A1101" s="848"/>
      <c r="B1101" s="860"/>
      <c r="C1101" s="1727" t="s">
        <v>831</v>
      </c>
      <c r="D1101" s="1285" t="s">
        <v>832</v>
      </c>
      <c r="E1101" s="1707">
        <v>399000</v>
      </c>
      <c r="F1101" s="1707">
        <v>0</v>
      </c>
      <c r="G1101" s="1708">
        <f t="shared" si="223"/>
        <v>0</v>
      </c>
    </row>
    <row r="1102" spans="1:7">
      <c r="A1102" s="848"/>
      <c r="B1102" s="860"/>
      <c r="C1102" s="1728"/>
      <c r="D1102" s="1729"/>
      <c r="E1102" s="1730"/>
      <c r="F1102" s="1730"/>
      <c r="G1102" s="1731"/>
    </row>
    <row r="1103" spans="1:7" ht="17.100000000000001" customHeight="1">
      <c r="A1103" s="848"/>
      <c r="B1103" s="860"/>
      <c r="C1103" s="2931" t="s">
        <v>587</v>
      </c>
      <c r="D1103" s="2932"/>
      <c r="E1103" s="1732">
        <f>SUM(E1104:E1119)</f>
        <v>292400</v>
      </c>
      <c r="F1103" s="1732">
        <f t="shared" ref="F1103" si="225">SUM(F1104:F1119)</f>
        <v>127963</v>
      </c>
      <c r="G1103" s="1242">
        <f t="shared" si="223"/>
        <v>0.4376299589603283</v>
      </c>
    </row>
    <row r="1104" spans="1:7" ht="17.100000000000001" customHeight="1">
      <c r="A1104" s="848"/>
      <c r="B1104" s="860"/>
      <c r="C1104" s="1534" t="s">
        <v>833</v>
      </c>
      <c r="D1104" s="1733" t="s">
        <v>832</v>
      </c>
      <c r="E1104" s="1734">
        <v>46629</v>
      </c>
      <c r="F1104" s="1734">
        <v>44511</v>
      </c>
      <c r="G1104" s="1735">
        <f t="shared" si="223"/>
        <v>0.95457762336743224</v>
      </c>
    </row>
    <row r="1105" spans="1:7" ht="17.100000000000001" customHeight="1">
      <c r="A1105" s="848"/>
      <c r="B1105" s="860"/>
      <c r="C1105" s="1534" t="s">
        <v>834</v>
      </c>
      <c r="D1105" s="1733" t="s">
        <v>832</v>
      </c>
      <c r="E1105" s="1734">
        <v>3241</v>
      </c>
      <c r="F1105" s="1734">
        <v>5359</v>
      </c>
      <c r="G1105" s="1735">
        <f t="shared" si="223"/>
        <v>1.6535020055538414</v>
      </c>
    </row>
    <row r="1106" spans="1:7" ht="17.100000000000001" customHeight="1">
      <c r="A1106" s="848"/>
      <c r="B1106" s="860"/>
      <c r="C1106" s="1534" t="s">
        <v>647</v>
      </c>
      <c r="D1106" s="1033" t="s">
        <v>525</v>
      </c>
      <c r="E1106" s="1734">
        <v>24439</v>
      </c>
      <c r="F1106" s="1734">
        <v>10831</v>
      </c>
      <c r="G1106" s="1735">
        <f t="shared" si="223"/>
        <v>0.44318507303899507</v>
      </c>
    </row>
    <row r="1107" spans="1:7" ht="17.100000000000001" customHeight="1">
      <c r="A1107" s="848"/>
      <c r="B1107" s="860"/>
      <c r="C1107" s="1534" t="s">
        <v>592</v>
      </c>
      <c r="D1107" s="1033" t="s">
        <v>525</v>
      </c>
      <c r="E1107" s="1734">
        <v>24440</v>
      </c>
      <c r="F1107" s="1734">
        <v>10831</v>
      </c>
      <c r="G1107" s="1735">
        <f t="shared" si="223"/>
        <v>0.44316693944353519</v>
      </c>
    </row>
    <row r="1108" spans="1:7" ht="17.100000000000001" customHeight="1">
      <c r="A1108" s="848"/>
      <c r="B1108" s="860"/>
      <c r="C1108" s="1534" t="s">
        <v>649</v>
      </c>
      <c r="D1108" s="1535" t="s">
        <v>529</v>
      </c>
      <c r="E1108" s="1734">
        <v>19160</v>
      </c>
      <c r="F1108" s="1734">
        <v>16823</v>
      </c>
      <c r="G1108" s="1735">
        <f t="shared" si="223"/>
        <v>0.87802713987473902</v>
      </c>
    </row>
    <row r="1109" spans="1:7" ht="17.100000000000001" customHeight="1">
      <c r="A1109" s="848"/>
      <c r="B1109" s="860"/>
      <c r="C1109" s="1534" t="s">
        <v>596</v>
      </c>
      <c r="D1109" s="1535" t="s">
        <v>529</v>
      </c>
      <c r="E1109" s="1734">
        <v>5242</v>
      </c>
      <c r="F1109" s="1734">
        <v>2902</v>
      </c>
      <c r="G1109" s="1735">
        <f t="shared" si="223"/>
        <v>0.55360549408622661</v>
      </c>
    </row>
    <row r="1110" spans="1:7" ht="17.100000000000001" customHeight="1">
      <c r="A1110" s="848"/>
      <c r="B1110" s="860"/>
      <c r="C1110" s="1534" t="s">
        <v>650</v>
      </c>
      <c r="D1110" s="1535" t="s">
        <v>531</v>
      </c>
      <c r="E1110" s="1734">
        <v>600</v>
      </c>
      <c r="F1110" s="1734">
        <v>103</v>
      </c>
      <c r="G1110" s="1735">
        <f t="shared" si="223"/>
        <v>0.17166666666666666</v>
      </c>
    </row>
    <row r="1111" spans="1:7" ht="17.100000000000001" customHeight="1">
      <c r="A1111" s="848"/>
      <c r="B1111" s="860"/>
      <c r="C1111" s="1534" t="s">
        <v>598</v>
      </c>
      <c r="D1111" s="1535" t="s">
        <v>531</v>
      </c>
      <c r="E1111" s="1734">
        <v>599</v>
      </c>
      <c r="F1111" s="1734">
        <v>103</v>
      </c>
      <c r="G1111" s="1735">
        <f t="shared" si="223"/>
        <v>0.17195325542570952</v>
      </c>
    </row>
    <row r="1112" spans="1:7" ht="17.100000000000001" hidden="1" customHeight="1">
      <c r="A1112" s="848"/>
      <c r="B1112" s="860"/>
      <c r="C1112" s="1534" t="s">
        <v>726</v>
      </c>
      <c r="D1112" s="1535" t="s">
        <v>533</v>
      </c>
      <c r="E1112" s="1734">
        <v>0</v>
      </c>
      <c r="F1112" s="1734">
        <v>0</v>
      </c>
      <c r="G1112" s="1735"/>
    </row>
    <row r="1113" spans="1:7" ht="17.100000000000001" hidden="1" customHeight="1">
      <c r="A1113" s="848"/>
      <c r="B1113" s="860"/>
      <c r="C1113" s="1534" t="s">
        <v>600</v>
      </c>
      <c r="D1113" s="1535" t="s">
        <v>533</v>
      </c>
      <c r="E1113" s="1734">
        <v>0</v>
      </c>
      <c r="F1113" s="1734">
        <v>0</v>
      </c>
      <c r="G1113" s="1735"/>
    </row>
    <row r="1114" spans="1:7" ht="17.100000000000001" hidden="1" customHeight="1">
      <c r="A1114" s="848"/>
      <c r="B1114" s="860"/>
      <c r="C1114" s="1534" t="s">
        <v>835</v>
      </c>
      <c r="D1114" s="1535" t="s">
        <v>715</v>
      </c>
      <c r="E1114" s="1734">
        <v>110307</v>
      </c>
      <c r="F1114" s="1734">
        <v>0</v>
      </c>
      <c r="G1114" s="1735">
        <f t="shared" si="223"/>
        <v>0</v>
      </c>
    </row>
    <row r="1115" spans="1:7" ht="17.100000000000001" hidden="1" customHeight="1">
      <c r="A1115" s="848"/>
      <c r="B1115" s="860"/>
      <c r="C1115" s="1534" t="s">
        <v>836</v>
      </c>
      <c r="D1115" s="1535" t="s">
        <v>715</v>
      </c>
      <c r="E1115" s="1734">
        <v>7043</v>
      </c>
      <c r="F1115" s="1734">
        <v>0</v>
      </c>
      <c r="G1115" s="1735">
        <f t="shared" si="223"/>
        <v>0</v>
      </c>
    </row>
    <row r="1116" spans="1:7" ht="17.100000000000001" customHeight="1">
      <c r="A1116" s="848"/>
      <c r="B1116" s="860"/>
      <c r="C1116" s="1534" t="s">
        <v>652</v>
      </c>
      <c r="D1116" s="1535" t="s">
        <v>548</v>
      </c>
      <c r="E1116" s="1734">
        <v>34128</v>
      </c>
      <c r="F1116" s="1734">
        <v>36500</v>
      </c>
      <c r="G1116" s="1735">
        <f t="shared" si="223"/>
        <v>1.0695030473511487</v>
      </c>
    </row>
    <row r="1117" spans="1:7" ht="17.100000000000001" hidden="1" customHeight="1">
      <c r="A1117" s="848"/>
      <c r="B1117" s="860"/>
      <c r="C1117" s="1534" t="s">
        <v>609</v>
      </c>
      <c r="D1117" s="1535" t="s">
        <v>548</v>
      </c>
      <c r="E1117" s="1734">
        <v>2372</v>
      </c>
      <c r="F1117" s="1734">
        <v>0</v>
      </c>
      <c r="G1117" s="1735">
        <f t="shared" si="223"/>
        <v>0</v>
      </c>
    </row>
    <row r="1118" spans="1:7" ht="17.100000000000001" hidden="1" customHeight="1">
      <c r="A1118" s="848"/>
      <c r="B1118" s="860"/>
      <c r="C1118" s="1534" t="s">
        <v>654</v>
      </c>
      <c r="D1118" s="1535" t="s">
        <v>570</v>
      </c>
      <c r="E1118" s="1734">
        <v>13277</v>
      </c>
      <c r="F1118" s="1734">
        <v>0</v>
      </c>
      <c r="G1118" s="1735">
        <f t="shared" si="223"/>
        <v>0</v>
      </c>
    </row>
    <row r="1119" spans="1:7" ht="17.100000000000001" hidden="1" customHeight="1">
      <c r="A1119" s="848"/>
      <c r="B1119" s="860"/>
      <c r="C1119" s="1726" t="s">
        <v>617</v>
      </c>
      <c r="D1119" s="1736" t="s">
        <v>570</v>
      </c>
      <c r="E1119" s="1734">
        <v>923</v>
      </c>
      <c r="F1119" s="1734">
        <v>0</v>
      </c>
      <c r="G1119" s="1735">
        <f t="shared" si="223"/>
        <v>0</v>
      </c>
    </row>
    <row r="1120" spans="1:7" ht="17.100000000000001" customHeight="1">
      <c r="A1120" s="848"/>
      <c r="B1120" s="860"/>
      <c r="C1120" s="1737"/>
      <c r="D1120" s="1738"/>
      <c r="E1120" s="1739"/>
      <c r="F1120" s="1739"/>
      <c r="G1120" s="1731"/>
    </row>
    <row r="1121" spans="1:7" ht="17.100000000000001" customHeight="1">
      <c r="A1121" s="848"/>
      <c r="B1121" s="860"/>
      <c r="C1121" s="2804" t="s">
        <v>574</v>
      </c>
      <c r="D1121" s="2804"/>
      <c r="E1121" s="854">
        <f t="shared" ref="E1121:F1121" si="226">E1122</f>
        <v>33000</v>
      </c>
      <c r="F1121" s="854">
        <f t="shared" si="226"/>
        <v>25000</v>
      </c>
      <c r="G1121" s="855">
        <f t="shared" si="223"/>
        <v>0.75757575757575757</v>
      </c>
    </row>
    <row r="1122" spans="1:7" ht="17.100000000000001" customHeight="1">
      <c r="A1122" s="848"/>
      <c r="B1122" s="860"/>
      <c r="C1122" s="2926" t="s">
        <v>575</v>
      </c>
      <c r="D1122" s="2927"/>
      <c r="E1122" s="1707">
        <f>SUM(E1123:E1123)</f>
        <v>33000</v>
      </c>
      <c r="F1122" s="1707">
        <f t="shared" ref="F1122" si="227">SUM(F1123:F1123)</f>
        <v>25000</v>
      </c>
      <c r="G1122" s="1708">
        <f t="shared" si="223"/>
        <v>0.75757575757575757</v>
      </c>
    </row>
    <row r="1123" spans="1:7" ht="17.100000000000001" customHeight="1" thickBot="1">
      <c r="A1123" s="848"/>
      <c r="B1123" s="860"/>
      <c r="C1123" s="1740" t="s">
        <v>576</v>
      </c>
      <c r="D1123" s="1058" t="s">
        <v>622</v>
      </c>
      <c r="E1123" s="1707">
        <v>33000</v>
      </c>
      <c r="F1123" s="1707">
        <v>25000</v>
      </c>
      <c r="G1123" s="1708">
        <f t="shared" si="223"/>
        <v>0.75757575757575757</v>
      </c>
    </row>
    <row r="1124" spans="1:7" ht="17.100000000000001" hidden="1" customHeight="1" thickBot="1">
      <c r="A1124" s="848"/>
      <c r="B1124" s="860"/>
      <c r="C1124" s="1410"/>
      <c r="D1124" s="1741"/>
      <c r="E1124" s="1190"/>
      <c r="F1124" s="1190"/>
      <c r="G1124" s="1191"/>
    </row>
    <row r="1125" spans="1:7" ht="17.100000000000001" customHeight="1" thickBot="1">
      <c r="A1125" s="848"/>
      <c r="B1125" s="1072" t="s">
        <v>837</v>
      </c>
      <c r="C1125" s="1073"/>
      <c r="D1125" s="1074" t="s">
        <v>416</v>
      </c>
      <c r="E1125" s="1075">
        <f>E1126+E1181</f>
        <v>17436078</v>
      </c>
      <c r="F1125" s="1075">
        <f>F1126+F1181</f>
        <v>8583448</v>
      </c>
      <c r="G1125" s="1076">
        <f t="shared" si="223"/>
        <v>0.49228089023231025</v>
      </c>
    </row>
    <row r="1126" spans="1:7" ht="17.100000000000001" customHeight="1">
      <c r="A1126" s="848"/>
      <c r="B1126" s="860"/>
      <c r="C1126" s="2802" t="s">
        <v>521</v>
      </c>
      <c r="D1126" s="2802"/>
      <c r="E1126" s="854">
        <f>E1127+E1147+E1150</f>
        <v>17393044</v>
      </c>
      <c r="F1126" s="854">
        <f>F1127+F1147+F1150</f>
        <v>8519448</v>
      </c>
      <c r="G1126" s="855">
        <f t="shared" si="223"/>
        <v>0.48981926337908421</v>
      </c>
    </row>
    <row r="1127" spans="1:7" ht="17.100000000000001" customHeight="1">
      <c r="A1127" s="848"/>
      <c r="B1127" s="860"/>
      <c r="C1127" s="2928" t="s">
        <v>522</v>
      </c>
      <c r="D1127" s="2928"/>
      <c r="E1127" s="1707">
        <f t="shared" ref="E1127:F1127" si="228">E1128+E1135</f>
        <v>8433936</v>
      </c>
      <c r="F1127" s="1707">
        <f t="shared" si="228"/>
        <v>8380039</v>
      </c>
      <c r="G1127" s="1708">
        <f t="shared" si="223"/>
        <v>0.99360950806361348</v>
      </c>
    </row>
    <row r="1128" spans="1:7" ht="17.100000000000001" customHeight="1">
      <c r="A1128" s="848"/>
      <c r="B1128" s="860"/>
      <c r="C1128" s="2929" t="s">
        <v>523</v>
      </c>
      <c r="D1128" s="2929"/>
      <c r="E1128" s="1709">
        <f t="shared" ref="E1128:F1128" si="229">SUM(E1129:E1133)</f>
        <v>7639584</v>
      </c>
      <c r="F1128" s="1709">
        <f t="shared" si="229"/>
        <v>7880516</v>
      </c>
      <c r="G1128" s="1710">
        <f t="shared" si="223"/>
        <v>1.0315373193095332</v>
      </c>
    </row>
    <row r="1129" spans="1:7" ht="17.100000000000001" customHeight="1">
      <c r="A1129" s="848"/>
      <c r="B1129" s="860"/>
      <c r="C1129" s="1534" t="s">
        <v>524</v>
      </c>
      <c r="D1129" s="1535" t="s">
        <v>525</v>
      </c>
      <c r="E1129" s="1707">
        <v>5985792</v>
      </c>
      <c r="F1129" s="1707">
        <v>6146942</v>
      </c>
      <c r="G1129" s="1708">
        <f t="shared" si="223"/>
        <v>1.0269220848302112</v>
      </c>
    </row>
    <row r="1130" spans="1:7" ht="17.100000000000001" customHeight="1">
      <c r="A1130" s="848"/>
      <c r="B1130" s="860"/>
      <c r="C1130" s="1534" t="s">
        <v>526</v>
      </c>
      <c r="D1130" s="1535" t="s">
        <v>527</v>
      </c>
      <c r="E1130" s="1707">
        <v>452135</v>
      </c>
      <c r="F1130" s="1707">
        <v>493436</v>
      </c>
      <c r="G1130" s="1708">
        <f t="shared" si="223"/>
        <v>1.0913466110785495</v>
      </c>
    </row>
    <row r="1131" spans="1:7" ht="17.100000000000001" customHeight="1">
      <c r="A1131" s="848"/>
      <c r="B1131" s="860"/>
      <c r="C1131" s="1534" t="s">
        <v>528</v>
      </c>
      <c r="D1131" s="1535" t="s">
        <v>529</v>
      </c>
      <c r="E1131" s="1707">
        <v>1076920</v>
      </c>
      <c r="F1131" s="1707">
        <v>1110148</v>
      </c>
      <c r="G1131" s="1708">
        <f t="shared" si="223"/>
        <v>1.0308546595847417</v>
      </c>
    </row>
    <row r="1132" spans="1:7" ht="17.100000000000001" customHeight="1">
      <c r="A1132" s="848"/>
      <c r="B1132" s="860"/>
      <c r="C1132" s="1726" t="s">
        <v>530</v>
      </c>
      <c r="D1132" s="1736" t="s">
        <v>531</v>
      </c>
      <c r="E1132" s="1707">
        <v>118177</v>
      </c>
      <c r="F1132" s="1707">
        <v>129990</v>
      </c>
      <c r="G1132" s="1708">
        <f t="shared" si="223"/>
        <v>1.0999602291478037</v>
      </c>
    </row>
    <row r="1133" spans="1:7" ht="17.100000000000001" hidden="1" customHeight="1">
      <c r="A1133" s="848"/>
      <c r="B1133" s="860"/>
      <c r="C1133" s="1057" t="s">
        <v>532</v>
      </c>
      <c r="D1133" s="1742" t="s">
        <v>533</v>
      </c>
      <c r="E1133" s="1707">
        <v>6560</v>
      </c>
      <c r="F1133" s="1707">
        <v>0</v>
      </c>
      <c r="G1133" s="1708">
        <f t="shared" si="223"/>
        <v>0</v>
      </c>
    </row>
    <row r="1134" spans="1:7" ht="17.100000000000001" customHeight="1">
      <c r="A1134" s="848"/>
      <c r="B1134" s="860"/>
      <c r="C1134" s="999"/>
      <c r="D1134" s="999"/>
      <c r="E1134" s="882"/>
      <c r="F1134" s="882"/>
      <c r="G1134" s="883"/>
    </row>
    <row r="1135" spans="1:7" ht="17.100000000000001" customHeight="1">
      <c r="A1135" s="848"/>
      <c r="B1135" s="860"/>
      <c r="C1135" s="2930" t="s">
        <v>534</v>
      </c>
      <c r="D1135" s="2930"/>
      <c r="E1135" s="1709">
        <f>SUM(E1136:E1145)</f>
        <v>794352</v>
      </c>
      <c r="F1135" s="1709">
        <f>SUM(F1136:F1145)</f>
        <v>499523</v>
      </c>
      <c r="G1135" s="1710">
        <f t="shared" si="223"/>
        <v>0.62884338429310938</v>
      </c>
    </row>
    <row r="1136" spans="1:7" ht="17.100000000000001" customHeight="1">
      <c r="A1136" s="848"/>
      <c r="B1136" s="860"/>
      <c r="C1136" s="1534" t="s">
        <v>535</v>
      </c>
      <c r="D1136" s="1535" t="s">
        <v>536</v>
      </c>
      <c r="E1136" s="1707">
        <v>90977</v>
      </c>
      <c r="F1136" s="1707">
        <v>93252</v>
      </c>
      <c r="G1136" s="1708">
        <f t="shared" si="223"/>
        <v>1.0250063202787518</v>
      </c>
    </row>
    <row r="1137" spans="1:7" ht="17.100000000000001" hidden="1" customHeight="1">
      <c r="A1137" s="848"/>
      <c r="B1137" s="860"/>
      <c r="C1137" s="1534" t="s">
        <v>537</v>
      </c>
      <c r="D1137" s="1535" t="s">
        <v>538</v>
      </c>
      <c r="E1137" s="1707">
        <v>5100</v>
      </c>
      <c r="F1137" s="1707">
        <v>0</v>
      </c>
      <c r="G1137" s="1708">
        <f t="shared" si="223"/>
        <v>0</v>
      </c>
    </row>
    <row r="1138" spans="1:7" ht="17.100000000000001" customHeight="1">
      <c r="A1138" s="848"/>
      <c r="B1138" s="860"/>
      <c r="C1138" s="1534" t="s">
        <v>541</v>
      </c>
      <c r="D1138" s="1535" t="s">
        <v>542</v>
      </c>
      <c r="E1138" s="1707">
        <v>77061</v>
      </c>
      <c r="F1138" s="1707">
        <v>77061</v>
      </c>
      <c r="G1138" s="1708">
        <f t="shared" si="223"/>
        <v>1</v>
      </c>
    </row>
    <row r="1139" spans="1:7" ht="17.100000000000001" customHeight="1">
      <c r="A1139" s="848"/>
      <c r="B1139" s="860"/>
      <c r="C1139" s="1534" t="s">
        <v>543</v>
      </c>
      <c r="D1139" s="1535" t="s">
        <v>544</v>
      </c>
      <c r="E1139" s="1707">
        <v>107000</v>
      </c>
      <c r="F1139" s="1707">
        <v>20000</v>
      </c>
      <c r="G1139" s="1708">
        <f t="shared" si="223"/>
        <v>0.18691588785046728</v>
      </c>
    </row>
    <row r="1140" spans="1:7" ht="17.100000000000001" customHeight="1">
      <c r="A1140" s="848"/>
      <c r="B1140" s="860"/>
      <c r="C1140" s="1534" t="s">
        <v>545</v>
      </c>
      <c r="D1140" s="1535" t="s">
        <v>546</v>
      </c>
      <c r="E1140" s="1707">
        <v>13180</v>
      </c>
      <c r="F1140" s="1707">
        <v>18133</v>
      </c>
      <c r="G1140" s="1708">
        <f t="shared" si="223"/>
        <v>1.3757966616084978</v>
      </c>
    </row>
    <row r="1141" spans="1:7" ht="17.100000000000001" customHeight="1">
      <c r="A1141" s="848"/>
      <c r="B1141" s="860"/>
      <c r="C1141" s="1534" t="s">
        <v>547</v>
      </c>
      <c r="D1141" s="1535" t="s">
        <v>548</v>
      </c>
      <c r="E1141" s="1707">
        <v>73570</v>
      </c>
      <c r="F1141" s="1707">
        <v>10470</v>
      </c>
      <c r="G1141" s="1708">
        <f t="shared" si="223"/>
        <v>0.14231344297947532</v>
      </c>
    </row>
    <row r="1142" spans="1:7" ht="17.100000000000001" customHeight="1">
      <c r="A1142" s="848"/>
      <c r="B1142" s="860"/>
      <c r="C1142" s="1534" t="s">
        <v>555</v>
      </c>
      <c r="D1142" s="1535" t="s">
        <v>556</v>
      </c>
      <c r="E1142" s="1707">
        <v>29452</v>
      </c>
      <c r="F1142" s="1707">
        <v>26504</v>
      </c>
      <c r="G1142" s="1708">
        <f t="shared" si="223"/>
        <v>0.89990493005568384</v>
      </c>
    </row>
    <row r="1143" spans="1:7" ht="17.100000000000001" hidden="1" customHeight="1">
      <c r="A1143" s="848"/>
      <c r="B1143" s="860"/>
      <c r="C1143" s="1534" t="s">
        <v>557</v>
      </c>
      <c r="D1143" s="1535" t="s">
        <v>558</v>
      </c>
      <c r="E1143" s="1707"/>
      <c r="F1143" s="1707"/>
      <c r="G1143" s="1708" t="e">
        <f t="shared" si="223"/>
        <v>#DIV/0!</v>
      </c>
    </row>
    <row r="1144" spans="1:7" ht="17.100000000000001" customHeight="1">
      <c r="A1144" s="848"/>
      <c r="B1144" s="860"/>
      <c r="C1144" s="1534" t="s">
        <v>559</v>
      </c>
      <c r="D1144" s="1535" t="s">
        <v>560</v>
      </c>
      <c r="E1144" s="1707">
        <v>248655</v>
      </c>
      <c r="F1144" s="1707">
        <v>243014</v>
      </c>
      <c r="G1144" s="1708">
        <f t="shared" si="223"/>
        <v>0.97731394904586677</v>
      </c>
    </row>
    <row r="1145" spans="1:7" ht="17.100000000000001" customHeight="1">
      <c r="A1145" s="848"/>
      <c r="B1145" s="860"/>
      <c r="C1145" s="1534" t="s">
        <v>569</v>
      </c>
      <c r="D1145" s="1535" t="s">
        <v>570</v>
      </c>
      <c r="E1145" s="1707">
        <v>149357</v>
      </c>
      <c r="F1145" s="1707">
        <v>11089</v>
      </c>
      <c r="G1145" s="1708">
        <f t="shared" si="223"/>
        <v>7.4244929932979375E-2</v>
      </c>
    </row>
    <row r="1146" spans="1:7" ht="17.100000000000001" customHeight="1">
      <c r="A1146" s="848"/>
      <c r="B1146" s="860"/>
      <c r="C1146" s="999"/>
      <c r="D1146" s="999"/>
      <c r="E1146" s="882"/>
      <c r="F1146" s="882"/>
      <c r="G1146" s="883"/>
    </row>
    <row r="1147" spans="1:7" ht="17.100000000000001" customHeight="1">
      <c r="A1147" s="848"/>
      <c r="B1147" s="860"/>
      <c r="C1147" s="2922" t="s">
        <v>766</v>
      </c>
      <c r="D1147" s="2922"/>
      <c r="E1147" s="1743">
        <f t="shared" ref="E1147:F1147" si="230">E1148</f>
        <v>14600</v>
      </c>
      <c r="F1147" s="1743">
        <f t="shared" si="230"/>
        <v>14600</v>
      </c>
      <c r="G1147" s="1744">
        <f t="shared" si="223"/>
        <v>1</v>
      </c>
    </row>
    <row r="1148" spans="1:7" ht="17.100000000000001" customHeight="1">
      <c r="A1148" s="848"/>
      <c r="B1148" s="860"/>
      <c r="C1148" s="1745" t="s">
        <v>572</v>
      </c>
      <c r="D1148" s="1746" t="s">
        <v>573</v>
      </c>
      <c r="E1148" s="1747">
        <v>14600</v>
      </c>
      <c r="F1148" s="1747">
        <v>14600</v>
      </c>
      <c r="G1148" s="1708">
        <f t="shared" si="223"/>
        <v>1</v>
      </c>
    </row>
    <row r="1149" spans="1:7">
      <c r="A1149" s="848"/>
      <c r="B1149" s="860"/>
      <c r="C1149" s="1748"/>
      <c r="D1149" s="1719"/>
      <c r="E1149" s="1747"/>
      <c r="F1149" s="1747"/>
      <c r="G1149" s="1708"/>
    </row>
    <row r="1150" spans="1:7" ht="17.25" customHeight="1">
      <c r="A1150" s="848"/>
      <c r="B1150" s="860"/>
      <c r="C1150" s="2923" t="s">
        <v>587</v>
      </c>
      <c r="D1150" s="2924"/>
      <c r="E1150" s="1190">
        <f>SUM(E1151:E1179)</f>
        <v>8944508</v>
      </c>
      <c r="F1150" s="1190">
        <f t="shared" ref="F1150" si="231">SUM(F1151:F1179)</f>
        <v>124809</v>
      </c>
      <c r="G1150" s="1191">
        <f t="shared" si="223"/>
        <v>1.3953702092949103E-2</v>
      </c>
    </row>
    <row r="1151" spans="1:7" ht="54" hidden="1" customHeight="1">
      <c r="A1151" s="848"/>
      <c r="B1151" s="860"/>
      <c r="C1151" s="1749" t="s">
        <v>418</v>
      </c>
      <c r="D1151" s="1750" t="s">
        <v>838</v>
      </c>
      <c r="E1151" s="1707">
        <v>1998308</v>
      </c>
      <c r="F1151" s="1707">
        <v>0</v>
      </c>
      <c r="G1151" s="1708">
        <f t="shared" si="223"/>
        <v>0</v>
      </c>
    </row>
    <row r="1152" spans="1:7" ht="63.75" hidden="1">
      <c r="A1152" s="848"/>
      <c r="B1152" s="860"/>
      <c r="C1152" s="1751" t="s">
        <v>328</v>
      </c>
      <c r="D1152" s="1750" t="s">
        <v>838</v>
      </c>
      <c r="E1152" s="1707">
        <v>136671</v>
      </c>
      <c r="F1152" s="1707">
        <v>0</v>
      </c>
      <c r="G1152" s="1708">
        <f t="shared" si="223"/>
        <v>0</v>
      </c>
    </row>
    <row r="1153" spans="1:7" ht="17.100000000000001" hidden="1" customHeight="1">
      <c r="A1153" s="848"/>
      <c r="B1153" s="860"/>
      <c r="C1153" s="1752" t="s">
        <v>839</v>
      </c>
      <c r="D1153" s="1750" t="s">
        <v>573</v>
      </c>
      <c r="E1153" s="1707">
        <v>1102</v>
      </c>
      <c r="F1153" s="1707">
        <v>0</v>
      </c>
      <c r="G1153" s="1708">
        <f t="shared" ref="G1153:G1217" si="232">F1153/E1153</f>
        <v>0</v>
      </c>
    </row>
    <row r="1154" spans="1:7" ht="17.100000000000001" hidden="1" customHeight="1">
      <c r="A1154" s="848"/>
      <c r="B1154" s="860"/>
      <c r="C1154" s="1752" t="s">
        <v>742</v>
      </c>
      <c r="D1154" s="1750" t="s">
        <v>573</v>
      </c>
      <c r="E1154" s="1707">
        <v>118</v>
      </c>
      <c r="F1154" s="1707">
        <v>0</v>
      </c>
      <c r="G1154" s="1708">
        <f t="shared" si="232"/>
        <v>0</v>
      </c>
    </row>
    <row r="1155" spans="1:7" ht="17.100000000000001" customHeight="1">
      <c r="A1155" s="848"/>
      <c r="B1155" s="860"/>
      <c r="C1155" s="1753" t="s">
        <v>647</v>
      </c>
      <c r="D1155" s="1754" t="s">
        <v>525</v>
      </c>
      <c r="E1155" s="1707">
        <v>354231</v>
      </c>
      <c r="F1155" s="1707">
        <v>60922</v>
      </c>
      <c r="G1155" s="1708">
        <f t="shared" si="232"/>
        <v>0.17198381846873934</v>
      </c>
    </row>
    <row r="1156" spans="1:7" ht="17.100000000000001" customHeight="1">
      <c r="A1156" s="848"/>
      <c r="B1156" s="860"/>
      <c r="C1156" s="1753" t="s">
        <v>592</v>
      </c>
      <c r="D1156" s="1754" t="s">
        <v>525</v>
      </c>
      <c r="E1156" s="1707">
        <v>50266</v>
      </c>
      <c r="F1156" s="1707">
        <v>7464</v>
      </c>
      <c r="G1156" s="1708">
        <f t="shared" si="232"/>
        <v>0.14849003302431066</v>
      </c>
    </row>
    <row r="1157" spans="1:7" ht="17.100000000000001" customHeight="1">
      <c r="A1157" s="848"/>
      <c r="B1157" s="860"/>
      <c r="C1157" s="1753" t="s">
        <v>649</v>
      </c>
      <c r="D1157" s="1754" t="s">
        <v>529</v>
      </c>
      <c r="E1157" s="1707">
        <v>58551</v>
      </c>
      <c r="F1157" s="1707">
        <v>13032</v>
      </c>
      <c r="G1157" s="1708">
        <f t="shared" si="232"/>
        <v>0.2225751908592509</v>
      </c>
    </row>
    <row r="1158" spans="1:7" ht="17.100000000000001" customHeight="1">
      <c r="A1158" s="848"/>
      <c r="B1158" s="860"/>
      <c r="C1158" s="1753" t="s">
        <v>596</v>
      </c>
      <c r="D1158" s="1754" t="s">
        <v>529</v>
      </c>
      <c r="E1158" s="1707">
        <v>7436</v>
      </c>
      <c r="F1158" s="1707">
        <v>1597</v>
      </c>
      <c r="G1158" s="1708">
        <f t="shared" si="232"/>
        <v>0.21476600322754169</v>
      </c>
    </row>
    <row r="1159" spans="1:7" ht="17.100000000000001" customHeight="1">
      <c r="A1159" s="848"/>
      <c r="B1159" s="860"/>
      <c r="C1159" s="1753" t="s">
        <v>650</v>
      </c>
      <c r="D1159" s="1754" t="s">
        <v>531</v>
      </c>
      <c r="E1159" s="1707">
        <v>8351</v>
      </c>
      <c r="F1159" s="1707">
        <v>1857</v>
      </c>
      <c r="G1159" s="1708">
        <f t="shared" si="232"/>
        <v>0.22236857861333972</v>
      </c>
    </row>
    <row r="1160" spans="1:7" ht="17.100000000000001" customHeight="1">
      <c r="A1160" s="848"/>
      <c r="B1160" s="860"/>
      <c r="C1160" s="1753" t="s">
        <v>598</v>
      </c>
      <c r="D1160" s="1754" t="s">
        <v>531</v>
      </c>
      <c r="E1160" s="1707">
        <v>1094</v>
      </c>
      <c r="F1160" s="1707">
        <v>228</v>
      </c>
      <c r="G1160" s="1708">
        <f t="shared" si="232"/>
        <v>0.20840950639853748</v>
      </c>
    </row>
    <row r="1161" spans="1:7" ht="17.100000000000001" hidden="1" customHeight="1">
      <c r="A1161" s="848"/>
      <c r="B1161" s="860"/>
      <c r="C1161" s="1753" t="s">
        <v>726</v>
      </c>
      <c r="D1161" s="1754" t="s">
        <v>533</v>
      </c>
      <c r="E1161" s="1707">
        <v>35152</v>
      </c>
      <c r="F1161" s="1707">
        <v>0</v>
      </c>
      <c r="G1161" s="1708">
        <f t="shared" si="232"/>
        <v>0</v>
      </c>
    </row>
    <row r="1162" spans="1:7" ht="17.100000000000001" hidden="1" customHeight="1">
      <c r="A1162" s="848"/>
      <c r="B1162" s="860"/>
      <c r="C1162" s="1753" t="s">
        <v>600</v>
      </c>
      <c r="D1162" s="1754" t="s">
        <v>533</v>
      </c>
      <c r="E1162" s="1707">
        <v>3848</v>
      </c>
      <c r="F1162" s="1707">
        <v>0</v>
      </c>
      <c r="G1162" s="1708">
        <f t="shared" si="232"/>
        <v>0</v>
      </c>
    </row>
    <row r="1163" spans="1:7" ht="17.100000000000001" customHeight="1">
      <c r="A1163" s="848"/>
      <c r="B1163" s="860"/>
      <c r="C1163" s="1753" t="s">
        <v>651</v>
      </c>
      <c r="D1163" s="1754" t="s">
        <v>538</v>
      </c>
      <c r="E1163" s="1707">
        <v>205993</v>
      </c>
      <c r="F1163" s="1707">
        <v>891</v>
      </c>
      <c r="G1163" s="1708">
        <f t="shared" si="232"/>
        <v>4.3253896977081749E-3</v>
      </c>
    </row>
    <row r="1164" spans="1:7" ht="17.100000000000001" customHeight="1">
      <c r="A1164" s="848"/>
      <c r="B1164" s="860"/>
      <c r="C1164" s="1753" t="s">
        <v>605</v>
      </c>
      <c r="D1164" s="1754" t="s">
        <v>538</v>
      </c>
      <c r="E1164" s="1707">
        <v>3195</v>
      </c>
      <c r="F1164" s="1707">
        <v>109</v>
      </c>
      <c r="G1164" s="1708">
        <f t="shared" si="232"/>
        <v>3.4115805946791859E-2</v>
      </c>
    </row>
    <row r="1165" spans="1:7" ht="17.100000000000001" hidden="1" customHeight="1">
      <c r="A1165" s="848"/>
      <c r="B1165" s="860"/>
      <c r="C1165" s="1753" t="s">
        <v>840</v>
      </c>
      <c r="D1165" s="1754" t="s">
        <v>540</v>
      </c>
      <c r="E1165" s="1707">
        <v>13584</v>
      </c>
      <c r="F1165" s="1707">
        <v>0</v>
      </c>
      <c r="G1165" s="1708">
        <f t="shared" si="232"/>
        <v>0</v>
      </c>
    </row>
    <row r="1166" spans="1:7" ht="17.100000000000001" hidden="1" customHeight="1">
      <c r="A1166" s="848"/>
      <c r="B1166" s="860"/>
      <c r="C1166" s="1753" t="s">
        <v>773</v>
      </c>
      <c r="D1166" s="1754" t="s">
        <v>540</v>
      </c>
      <c r="E1166" s="1707">
        <v>601</v>
      </c>
      <c r="F1166" s="1707">
        <v>0</v>
      </c>
      <c r="G1166" s="1708">
        <f t="shared" si="232"/>
        <v>0</v>
      </c>
    </row>
    <row r="1167" spans="1:7" ht="17.100000000000001" hidden="1" customHeight="1">
      <c r="A1167" s="848"/>
      <c r="B1167" s="860"/>
      <c r="C1167" s="1753" t="s">
        <v>835</v>
      </c>
      <c r="D1167" s="1754" t="s">
        <v>715</v>
      </c>
      <c r="E1167" s="1707">
        <v>1658647</v>
      </c>
      <c r="F1167" s="1707">
        <v>0</v>
      </c>
      <c r="G1167" s="1708">
        <f t="shared" si="232"/>
        <v>0</v>
      </c>
    </row>
    <row r="1168" spans="1:7" ht="17.100000000000001" hidden="1" customHeight="1">
      <c r="A1168" s="848"/>
      <c r="B1168" s="860"/>
      <c r="C1168" s="1753" t="s">
        <v>836</v>
      </c>
      <c r="D1168" s="1754" t="s">
        <v>715</v>
      </c>
      <c r="E1168" s="1707">
        <v>331900</v>
      </c>
      <c r="F1168" s="1707">
        <v>0</v>
      </c>
      <c r="G1168" s="1708">
        <f t="shared" si="232"/>
        <v>0</v>
      </c>
    </row>
    <row r="1169" spans="1:7" ht="17.100000000000001" hidden="1" customHeight="1">
      <c r="A1169" s="848"/>
      <c r="B1169" s="860"/>
      <c r="C1169" s="1753" t="s">
        <v>841</v>
      </c>
      <c r="D1169" s="1754" t="s">
        <v>542</v>
      </c>
      <c r="E1169" s="1707">
        <v>87909</v>
      </c>
      <c r="F1169" s="1707">
        <v>0</v>
      </c>
      <c r="G1169" s="1708">
        <f t="shared" si="232"/>
        <v>0</v>
      </c>
    </row>
    <row r="1170" spans="1:7" ht="17.100000000000001" hidden="1" customHeight="1">
      <c r="A1170" s="848"/>
      <c r="B1170" s="860"/>
      <c r="C1170" s="1753" t="s">
        <v>747</v>
      </c>
      <c r="D1170" s="1754" t="s">
        <v>542</v>
      </c>
      <c r="E1170" s="1707">
        <v>568</v>
      </c>
      <c r="F1170" s="1707">
        <v>0</v>
      </c>
      <c r="G1170" s="1708">
        <f t="shared" si="232"/>
        <v>0</v>
      </c>
    </row>
    <row r="1171" spans="1:7" ht="17.100000000000001" customHeight="1">
      <c r="A1171" s="848"/>
      <c r="B1171" s="860"/>
      <c r="C1171" s="1753" t="s">
        <v>652</v>
      </c>
      <c r="D1171" s="1754" t="s">
        <v>548</v>
      </c>
      <c r="E1171" s="1707">
        <v>2037953</v>
      </c>
      <c r="F1171" s="1707">
        <v>14942</v>
      </c>
      <c r="G1171" s="1708">
        <f t="shared" si="232"/>
        <v>7.331866829117256E-3</v>
      </c>
    </row>
    <row r="1172" spans="1:7" ht="17.100000000000001" customHeight="1">
      <c r="A1172" s="848"/>
      <c r="B1172" s="860"/>
      <c r="C1172" s="1753" t="s">
        <v>609</v>
      </c>
      <c r="D1172" s="1754" t="s">
        <v>548</v>
      </c>
      <c r="E1172" s="1707">
        <v>177386</v>
      </c>
      <c r="F1172" s="1707">
        <v>1831</v>
      </c>
      <c r="G1172" s="1708">
        <f t="shared" si="232"/>
        <v>1.0322122377188729E-2</v>
      </c>
    </row>
    <row r="1173" spans="1:7" ht="27.75" hidden="1" customHeight="1">
      <c r="A1173" s="848"/>
      <c r="B1173" s="860"/>
      <c r="C1173" s="1753" t="s">
        <v>828</v>
      </c>
      <c r="D1173" s="1754" t="s">
        <v>829</v>
      </c>
      <c r="E1173" s="1707">
        <v>407997</v>
      </c>
      <c r="F1173" s="1707">
        <v>0</v>
      </c>
      <c r="G1173" s="1708">
        <f t="shared" si="232"/>
        <v>0</v>
      </c>
    </row>
    <row r="1174" spans="1:7" ht="25.5" hidden="1">
      <c r="A1174" s="848"/>
      <c r="B1174" s="860"/>
      <c r="C1174" s="1753" t="s">
        <v>842</v>
      </c>
      <c r="D1174" s="1754" t="s">
        <v>843</v>
      </c>
      <c r="E1174" s="1707">
        <v>1112784</v>
      </c>
      <c r="F1174" s="1707">
        <v>0</v>
      </c>
      <c r="G1174" s="1708">
        <f t="shared" si="232"/>
        <v>0</v>
      </c>
    </row>
    <row r="1175" spans="1:7" ht="30.75" hidden="1" customHeight="1">
      <c r="A1175" s="848"/>
      <c r="B1175" s="860"/>
      <c r="C1175" s="1753" t="s">
        <v>844</v>
      </c>
      <c r="D1175" s="1754" t="s">
        <v>843</v>
      </c>
      <c r="E1175" s="1707">
        <v>196374</v>
      </c>
      <c r="F1175" s="1707">
        <v>0</v>
      </c>
      <c r="G1175" s="1708">
        <f t="shared" si="232"/>
        <v>0</v>
      </c>
    </row>
    <row r="1176" spans="1:7" ht="17.100000000000001" customHeight="1">
      <c r="A1176" s="848"/>
      <c r="B1176" s="860"/>
      <c r="C1176" s="1753" t="s">
        <v>845</v>
      </c>
      <c r="D1176" s="1754" t="s">
        <v>846</v>
      </c>
      <c r="E1176" s="1707">
        <v>4276</v>
      </c>
      <c r="F1176" s="1707">
        <v>2138</v>
      </c>
      <c r="G1176" s="1708">
        <f t="shared" si="232"/>
        <v>0.5</v>
      </c>
    </row>
    <row r="1177" spans="1:7" ht="17.100000000000001" customHeight="1">
      <c r="A1177" s="848"/>
      <c r="B1177" s="860"/>
      <c r="C1177" s="1753" t="s">
        <v>774</v>
      </c>
      <c r="D1177" s="1754" t="s">
        <v>846</v>
      </c>
      <c r="E1177" s="1707">
        <v>524</v>
      </c>
      <c r="F1177" s="1707">
        <v>262</v>
      </c>
      <c r="G1177" s="1708">
        <f t="shared" si="232"/>
        <v>0.5</v>
      </c>
    </row>
    <row r="1178" spans="1:7" ht="17.100000000000001" customHeight="1">
      <c r="A1178" s="848"/>
      <c r="B1178" s="860"/>
      <c r="C1178" s="1536" t="s">
        <v>653</v>
      </c>
      <c r="D1178" s="1537" t="s">
        <v>556</v>
      </c>
      <c r="E1178" s="1707">
        <v>46012</v>
      </c>
      <c r="F1178" s="1707">
        <v>17403</v>
      </c>
      <c r="G1178" s="1708">
        <f t="shared" si="232"/>
        <v>0.3782274189341911</v>
      </c>
    </row>
    <row r="1179" spans="1:7" ht="17.100000000000001" customHeight="1">
      <c r="A1179" s="848"/>
      <c r="B1179" s="860"/>
      <c r="C1179" s="1753" t="s">
        <v>613</v>
      </c>
      <c r="D1179" s="1754" t="s">
        <v>556</v>
      </c>
      <c r="E1179" s="1707">
        <v>3677</v>
      </c>
      <c r="F1179" s="1707">
        <v>2133</v>
      </c>
      <c r="G1179" s="1708">
        <f t="shared" si="232"/>
        <v>0.58009246668479741</v>
      </c>
    </row>
    <row r="1180" spans="1:7" ht="17.100000000000001" customHeight="1">
      <c r="A1180" s="848"/>
      <c r="B1180" s="860"/>
      <c r="C1180" s="1755"/>
      <c r="D1180" s="1755"/>
      <c r="E1180" s="1756"/>
      <c r="F1180" s="1756"/>
      <c r="G1180" s="1242"/>
    </row>
    <row r="1181" spans="1:7" ht="17.100000000000001" customHeight="1">
      <c r="A1181" s="848"/>
      <c r="B1181" s="860"/>
      <c r="C1181" s="2900" t="s">
        <v>574</v>
      </c>
      <c r="D1181" s="2900"/>
      <c r="E1181" s="1757">
        <f t="shared" ref="E1181:F1181" si="233">E1182</f>
        <v>43034</v>
      </c>
      <c r="F1181" s="1757">
        <f t="shared" si="233"/>
        <v>64000</v>
      </c>
      <c r="G1181" s="1758">
        <f t="shared" si="232"/>
        <v>1.4871961704698611</v>
      </c>
    </row>
    <row r="1182" spans="1:7" ht="17.100000000000001" customHeight="1">
      <c r="A1182" s="848"/>
      <c r="B1182" s="860"/>
      <c r="C1182" s="2828" t="s">
        <v>575</v>
      </c>
      <c r="D1182" s="2829"/>
      <c r="E1182" s="1190">
        <f>SUM(E1183:E1185)</f>
        <v>43034</v>
      </c>
      <c r="F1182" s="1190">
        <f>SUM(F1183:F1185)</f>
        <v>64000</v>
      </c>
      <c r="G1182" s="1191">
        <f t="shared" si="232"/>
        <v>1.4871961704698611</v>
      </c>
    </row>
    <row r="1183" spans="1:7" ht="17.100000000000001" customHeight="1" thickBot="1">
      <c r="A1183" s="848"/>
      <c r="B1183" s="860"/>
      <c r="C1183" s="1759" t="s">
        <v>576</v>
      </c>
      <c r="D1183" s="1746" t="s">
        <v>622</v>
      </c>
      <c r="E1183" s="1190">
        <v>0</v>
      </c>
      <c r="F1183" s="1190">
        <v>64000</v>
      </c>
      <c r="G1183" s="1191"/>
    </row>
    <row r="1184" spans="1:7" ht="17.100000000000001" hidden="1" customHeight="1">
      <c r="A1184" s="848"/>
      <c r="B1184" s="860"/>
      <c r="C1184" s="1737" t="s">
        <v>655</v>
      </c>
      <c r="D1184" s="1746" t="s">
        <v>622</v>
      </c>
      <c r="E1184" s="1707">
        <v>36579</v>
      </c>
      <c r="F1184" s="1707">
        <v>0</v>
      </c>
      <c r="G1184" s="1708">
        <f t="shared" si="232"/>
        <v>0</v>
      </c>
    </row>
    <row r="1185" spans="1:7" ht="17.100000000000001" hidden="1" customHeight="1">
      <c r="A1185" s="848"/>
      <c r="B1185" s="860"/>
      <c r="C1185" s="1737" t="s">
        <v>674</v>
      </c>
      <c r="D1185" s="1746" t="s">
        <v>622</v>
      </c>
      <c r="E1185" s="1707">
        <v>6455</v>
      </c>
      <c r="F1185" s="1707">
        <v>0</v>
      </c>
      <c r="G1185" s="1708">
        <f t="shared" si="232"/>
        <v>0</v>
      </c>
    </row>
    <row r="1186" spans="1:7" ht="17.100000000000001" hidden="1" customHeight="1">
      <c r="A1186" s="848"/>
      <c r="B1186" s="860"/>
      <c r="C1186" s="1036"/>
      <c r="D1186" s="1037"/>
      <c r="E1186" s="962"/>
      <c r="F1186" s="962"/>
      <c r="G1186" s="963"/>
    </row>
    <row r="1187" spans="1:7" ht="17.100000000000001" hidden="1" customHeight="1">
      <c r="A1187" s="848"/>
      <c r="B1187" s="860"/>
      <c r="C1187" s="2908" t="s">
        <v>585</v>
      </c>
      <c r="D1187" s="2925"/>
      <c r="E1187" s="1709">
        <f>SUM(E1188:E1189)</f>
        <v>43034</v>
      </c>
      <c r="F1187" s="1709">
        <f t="shared" ref="F1187" si="234">SUM(F1188:F1189)</f>
        <v>0</v>
      </c>
      <c r="G1187" s="1710">
        <f t="shared" si="232"/>
        <v>0</v>
      </c>
    </row>
    <row r="1188" spans="1:7" ht="17.100000000000001" hidden="1" customHeight="1">
      <c r="A1188" s="848"/>
      <c r="B1188" s="860"/>
      <c r="C1188" s="1057" t="s">
        <v>655</v>
      </c>
      <c r="D1188" s="1058" t="s">
        <v>622</v>
      </c>
      <c r="E1188" s="1707">
        <v>36579</v>
      </c>
      <c r="F1188" s="1707">
        <v>0</v>
      </c>
      <c r="G1188" s="1708">
        <f t="shared" si="232"/>
        <v>0</v>
      </c>
    </row>
    <row r="1189" spans="1:7" ht="17.100000000000001" hidden="1" customHeight="1" thickBot="1">
      <c r="A1189" s="848"/>
      <c r="B1189" s="860"/>
      <c r="C1189" s="1366" t="s">
        <v>674</v>
      </c>
      <c r="D1189" s="1037" t="s">
        <v>622</v>
      </c>
      <c r="E1189" s="962">
        <v>6455</v>
      </c>
      <c r="F1189" s="962">
        <v>0</v>
      </c>
      <c r="G1189" s="963">
        <f t="shared" si="232"/>
        <v>0</v>
      </c>
    </row>
    <row r="1190" spans="1:7" ht="17.100000000000001" customHeight="1" thickBot="1">
      <c r="A1190" s="848"/>
      <c r="B1190" s="1072" t="s">
        <v>847</v>
      </c>
      <c r="C1190" s="1073"/>
      <c r="D1190" s="1074" t="s">
        <v>424</v>
      </c>
      <c r="E1190" s="1075">
        <f>SUM(E1191+E1228)</f>
        <v>13077661</v>
      </c>
      <c r="F1190" s="1075">
        <f t="shared" ref="F1190" si="235">SUM(F1191+F1228)</f>
        <v>10179198</v>
      </c>
      <c r="G1190" s="1076">
        <f t="shared" si="232"/>
        <v>0.77836533612547376</v>
      </c>
    </row>
    <row r="1191" spans="1:7" ht="17.100000000000001" customHeight="1">
      <c r="A1191" s="848"/>
      <c r="B1191" s="860"/>
      <c r="C1191" s="2802" t="s">
        <v>521</v>
      </c>
      <c r="D1191" s="2802"/>
      <c r="E1191" s="854">
        <f>E1192+E1219+E1222</f>
        <v>10370317</v>
      </c>
      <c r="F1191" s="854">
        <f t="shared" ref="F1191" si="236">F1192+F1219+F1222</f>
        <v>10179198</v>
      </c>
      <c r="G1191" s="855">
        <f t="shared" si="232"/>
        <v>0.98157057301141326</v>
      </c>
    </row>
    <row r="1192" spans="1:7" ht="17.100000000000001" customHeight="1">
      <c r="A1192" s="848"/>
      <c r="B1192" s="860"/>
      <c r="C1192" s="2907" t="s">
        <v>522</v>
      </c>
      <c r="D1192" s="2907"/>
      <c r="E1192" s="1707">
        <f>E1193+E1200</f>
        <v>9954556</v>
      </c>
      <c r="F1192" s="1707">
        <f t="shared" ref="F1192" si="237">F1193+F1200</f>
        <v>10167388</v>
      </c>
      <c r="G1192" s="1708">
        <f t="shared" si="232"/>
        <v>1.021380360912129</v>
      </c>
    </row>
    <row r="1193" spans="1:7" ht="17.100000000000001" customHeight="1">
      <c r="A1193" s="848"/>
      <c r="B1193" s="860"/>
      <c r="C1193" s="2917" t="s">
        <v>523</v>
      </c>
      <c r="D1193" s="2917"/>
      <c r="E1193" s="1709">
        <f t="shared" ref="E1193:F1193" si="238">SUM(E1194:E1198)</f>
        <v>7567711</v>
      </c>
      <c r="F1193" s="1709">
        <f t="shared" si="238"/>
        <v>7866189</v>
      </c>
      <c r="G1193" s="1710">
        <f t="shared" si="232"/>
        <v>1.0394409881666993</v>
      </c>
    </row>
    <row r="1194" spans="1:7" ht="17.100000000000001" customHeight="1">
      <c r="A1194" s="848"/>
      <c r="B1194" s="860"/>
      <c r="C1194" s="1753" t="s">
        <v>524</v>
      </c>
      <c r="D1194" s="1754" t="s">
        <v>525</v>
      </c>
      <c r="E1194" s="1707">
        <v>5895336</v>
      </c>
      <c r="F1194" s="1707">
        <v>6144380</v>
      </c>
      <c r="G1194" s="1708">
        <f t="shared" si="232"/>
        <v>1.0422442418888422</v>
      </c>
    </row>
    <row r="1195" spans="1:7" ht="17.100000000000001" customHeight="1">
      <c r="A1195" s="848"/>
      <c r="B1195" s="860"/>
      <c r="C1195" s="1753" t="s">
        <v>526</v>
      </c>
      <c r="D1195" s="1754" t="s">
        <v>527</v>
      </c>
      <c r="E1195" s="1707">
        <v>461001</v>
      </c>
      <c r="F1195" s="1707">
        <v>493714</v>
      </c>
      <c r="G1195" s="1708">
        <f t="shared" si="232"/>
        <v>1.0709608005188709</v>
      </c>
    </row>
    <row r="1196" spans="1:7" ht="17.100000000000001" customHeight="1">
      <c r="A1196" s="848"/>
      <c r="B1196" s="860"/>
      <c r="C1196" s="1536" t="s">
        <v>528</v>
      </c>
      <c r="D1196" s="1537" t="s">
        <v>529</v>
      </c>
      <c r="E1196" s="1707">
        <v>1076054</v>
      </c>
      <c r="F1196" s="1707">
        <v>1088273</v>
      </c>
      <c r="G1196" s="1708">
        <f t="shared" si="232"/>
        <v>1.0113553780758215</v>
      </c>
    </row>
    <row r="1197" spans="1:7" ht="17.100000000000001" customHeight="1">
      <c r="A1197" s="848"/>
      <c r="B1197" s="860"/>
      <c r="C1197" s="1745" t="s">
        <v>530</v>
      </c>
      <c r="D1197" s="1746" t="s">
        <v>531</v>
      </c>
      <c r="E1197" s="1707">
        <v>104123</v>
      </c>
      <c r="F1197" s="1707">
        <v>107514</v>
      </c>
      <c r="G1197" s="1708">
        <f t="shared" si="232"/>
        <v>1.032567252192119</v>
      </c>
    </row>
    <row r="1198" spans="1:7" ht="17.100000000000001" customHeight="1">
      <c r="A1198" s="848"/>
      <c r="B1198" s="860"/>
      <c r="C1198" s="1036" t="s">
        <v>532</v>
      </c>
      <c r="D1198" s="1037" t="s">
        <v>533</v>
      </c>
      <c r="E1198" s="962">
        <v>31197</v>
      </c>
      <c r="F1198" s="962">
        <v>32308</v>
      </c>
      <c r="G1198" s="963">
        <f t="shared" si="232"/>
        <v>1.0356123986280732</v>
      </c>
    </row>
    <row r="1199" spans="1:7" ht="17.100000000000001" customHeight="1">
      <c r="A1199" s="848"/>
      <c r="B1199" s="860"/>
      <c r="C1199" s="1760"/>
      <c r="D1199" s="1760"/>
      <c r="E1199" s="1761"/>
      <c r="F1199" s="1761"/>
      <c r="G1199" s="1762"/>
    </row>
    <row r="1200" spans="1:7" ht="17.100000000000001" customHeight="1">
      <c r="A1200" s="848"/>
      <c r="B1200" s="860"/>
      <c r="C1200" s="2908" t="s">
        <v>534</v>
      </c>
      <c r="D1200" s="2908"/>
      <c r="E1200" s="1763">
        <f t="shared" ref="E1200:F1200" si="239">SUM(E1201:E1217)</f>
        <v>2386845</v>
      </c>
      <c r="F1200" s="1763">
        <f t="shared" si="239"/>
        <v>2301199</v>
      </c>
      <c r="G1200" s="1764">
        <f t="shared" si="232"/>
        <v>0.96411748563480237</v>
      </c>
    </row>
    <row r="1201" spans="1:7" ht="17.100000000000001" customHeight="1">
      <c r="A1201" s="848"/>
      <c r="B1201" s="860"/>
      <c r="C1201" s="1057" t="s">
        <v>535</v>
      </c>
      <c r="D1201" s="1058" t="s">
        <v>536</v>
      </c>
      <c r="E1201" s="1190">
        <v>40642</v>
      </c>
      <c r="F1201" s="1190">
        <v>43048</v>
      </c>
      <c r="G1201" s="1191">
        <f t="shared" si="232"/>
        <v>1.0591998425274347</v>
      </c>
    </row>
    <row r="1202" spans="1:7" ht="17.100000000000001" customHeight="1">
      <c r="A1202" s="848"/>
      <c r="B1202" s="860"/>
      <c r="C1202" s="1753" t="s">
        <v>537</v>
      </c>
      <c r="D1202" s="1754" t="s">
        <v>538</v>
      </c>
      <c r="E1202" s="1190">
        <v>245833</v>
      </c>
      <c r="F1202" s="1190">
        <v>230340</v>
      </c>
      <c r="G1202" s="1191">
        <f t="shared" si="232"/>
        <v>0.93697754166446323</v>
      </c>
    </row>
    <row r="1203" spans="1:7" ht="17.100000000000001" customHeight="1">
      <c r="A1203" s="848"/>
      <c r="B1203" s="860"/>
      <c r="C1203" s="1753" t="s">
        <v>539</v>
      </c>
      <c r="D1203" s="1754" t="s">
        <v>540</v>
      </c>
      <c r="E1203" s="1190">
        <v>500</v>
      </c>
      <c r="F1203" s="1190">
        <v>500</v>
      </c>
      <c r="G1203" s="1191">
        <f t="shared" si="232"/>
        <v>1</v>
      </c>
    </row>
    <row r="1204" spans="1:7" ht="17.100000000000001" customHeight="1">
      <c r="A1204" s="848"/>
      <c r="B1204" s="860"/>
      <c r="C1204" s="1753" t="s">
        <v>714</v>
      </c>
      <c r="D1204" s="1754" t="s">
        <v>715</v>
      </c>
      <c r="E1204" s="1190">
        <v>226888</v>
      </c>
      <c r="F1204" s="1190">
        <v>127890</v>
      </c>
      <c r="G1204" s="1191">
        <f t="shared" si="232"/>
        <v>0.56367018088219734</v>
      </c>
    </row>
    <row r="1205" spans="1:7" ht="17.100000000000001" customHeight="1">
      <c r="A1205" s="848"/>
      <c r="B1205" s="860"/>
      <c r="C1205" s="1753" t="s">
        <v>541</v>
      </c>
      <c r="D1205" s="1754" t="s">
        <v>542</v>
      </c>
      <c r="E1205" s="1190">
        <v>513942</v>
      </c>
      <c r="F1205" s="1190">
        <v>523434</v>
      </c>
      <c r="G1205" s="1191">
        <f t="shared" si="232"/>
        <v>1.0184690101217646</v>
      </c>
    </row>
    <row r="1206" spans="1:7" ht="17.100000000000001" customHeight="1">
      <c r="A1206" s="848"/>
      <c r="B1206" s="860"/>
      <c r="C1206" s="1753" t="s">
        <v>543</v>
      </c>
      <c r="D1206" s="1754" t="s">
        <v>544</v>
      </c>
      <c r="E1206" s="1190">
        <v>80000</v>
      </c>
      <c r="F1206" s="1190">
        <v>105964</v>
      </c>
      <c r="G1206" s="1191">
        <f t="shared" si="232"/>
        <v>1.3245499999999999</v>
      </c>
    </row>
    <row r="1207" spans="1:7" ht="17.100000000000001" customHeight="1">
      <c r="A1207" s="848"/>
      <c r="B1207" s="860"/>
      <c r="C1207" s="1753" t="s">
        <v>545</v>
      </c>
      <c r="D1207" s="1754" t="s">
        <v>546</v>
      </c>
      <c r="E1207" s="1190">
        <v>8342</v>
      </c>
      <c r="F1207" s="1190">
        <v>7585</v>
      </c>
      <c r="G1207" s="1191">
        <f t="shared" si="232"/>
        <v>0.90925437544953247</v>
      </c>
    </row>
    <row r="1208" spans="1:7">
      <c r="A1208" s="848"/>
      <c r="B1208" s="860"/>
      <c r="C1208" s="1753" t="s">
        <v>547</v>
      </c>
      <c r="D1208" s="1754" t="s">
        <v>548</v>
      </c>
      <c r="E1208" s="1190">
        <v>336646</v>
      </c>
      <c r="F1208" s="1190">
        <v>413218</v>
      </c>
      <c r="G1208" s="1191">
        <f t="shared" si="232"/>
        <v>1.2274555467761388</v>
      </c>
    </row>
    <row r="1209" spans="1:7" ht="30.75" customHeight="1">
      <c r="A1209" s="848"/>
      <c r="B1209" s="860"/>
      <c r="C1209" s="1753" t="s">
        <v>828</v>
      </c>
      <c r="D1209" s="1754" t="s">
        <v>829</v>
      </c>
      <c r="E1209" s="1190">
        <v>98210</v>
      </c>
      <c r="F1209" s="1190">
        <v>35600</v>
      </c>
      <c r="G1209" s="1191">
        <f t="shared" si="232"/>
        <v>0.36248854495468891</v>
      </c>
    </row>
    <row r="1210" spans="1:7" ht="16.5" customHeight="1">
      <c r="A1210" s="848"/>
      <c r="B1210" s="860"/>
      <c r="C1210" s="1753" t="s">
        <v>549</v>
      </c>
      <c r="D1210" s="1754" t="s">
        <v>550</v>
      </c>
      <c r="E1210" s="1190">
        <v>108010</v>
      </c>
      <c r="F1210" s="1190">
        <v>93238</v>
      </c>
      <c r="G1210" s="1191">
        <f t="shared" si="232"/>
        <v>0.8632348856587353</v>
      </c>
    </row>
    <row r="1211" spans="1:7" ht="20.25" customHeight="1">
      <c r="A1211" s="848"/>
      <c r="B1211" s="860"/>
      <c r="C1211" s="1753" t="s">
        <v>553</v>
      </c>
      <c r="D1211" s="1754" t="s">
        <v>554</v>
      </c>
      <c r="E1211" s="1190">
        <v>354634</v>
      </c>
      <c r="F1211" s="1190">
        <v>335313</v>
      </c>
      <c r="G1211" s="1191">
        <f t="shared" si="232"/>
        <v>0.94551847820569934</v>
      </c>
    </row>
    <row r="1212" spans="1:7" ht="17.100000000000001" customHeight="1">
      <c r="A1212" s="848"/>
      <c r="B1212" s="860"/>
      <c r="C1212" s="1536" t="s">
        <v>555</v>
      </c>
      <c r="D1212" s="1537" t="s">
        <v>556</v>
      </c>
      <c r="E1212" s="1190">
        <v>15295</v>
      </c>
      <c r="F1212" s="1190">
        <v>17461</v>
      </c>
      <c r="G1212" s="1191">
        <f t="shared" si="232"/>
        <v>1.141614906832298</v>
      </c>
    </row>
    <row r="1213" spans="1:7" ht="17.100000000000001" customHeight="1">
      <c r="A1213" s="848"/>
      <c r="B1213" s="860"/>
      <c r="C1213" s="1737" t="s">
        <v>557</v>
      </c>
      <c r="D1213" s="1746" t="s">
        <v>558</v>
      </c>
      <c r="E1213" s="1190">
        <v>25148</v>
      </c>
      <c r="F1213" s="1190">
        <v>28492</v>
      </c>
      <c r="G1213" s="1191">
        <f t="shared" si="232"/>
        <v>1.1329728010179736</v>
      </c>
    </row>
    <row r="1214" spans="1:7" ht="17.100000000000001" customHeight="1">
      <c r="A1214" s="848"/>
      <c r="B1214" s="860"/>
      <c r="C1214" s="1057" t="s">
        <v>559</v>
      </c>
      <c r="D1214" s="1058" t="s">
        <v>560</v>
      </c>
      <c r="E1214" s="1190">
        <v>315743</v>
      </c>
      <c r="F1214" s="1190">
        <v>309728</v>
      </c>
      <c r="G1214" s="1191">
        <f t="shared" si="232"/>
        <v>0.9809496964303247</v>
      </c>
    </row>
    <row r="1215" spans="1:7" ht="17.100000000000001" customHeight="1">
      <c r="A1215" s="848"/>
      <c r="B1215" s="860"/>
      <c r="C1215" s="1753" t="s">
        <v>565</v>
      </c>
      <c r="D1215" s="1754" t="s">
        <v>566</v>
      </c>
      <c r="E1215" s="1190">
        <v>812</v>
      </c>
      <c r="F1215" s="1190">
        <v>812</v>
      </c>
      <c r="G1215" s="1191">
        <f t="shared" si="232"/>
        <v>1</v>
      </c>
    </row>
    <row r="1216" spans="1:7" ht="17.100000000000001" customHeight="1">
      <c r="A1216" s="848"/>
      <c r="B1216" s="860"/>
      <c r="C1216" s="1753" t="s">
        <v>567</v>
      </c>
      <c r="D1216" s="1754" t="s">
        <v>568</v>
      </c>
      <c r="E1216" s="1190">
        <v>1000</v>
      </c>
      <c r="F1216" s="1190">
        <v>5000</v>
      </c>
      <c r="G1216" s="1191">
        <f t="shared" si="232"/>
        <v>5</v>
      </c>
    </row>
    <row r="1217" spans="1:7" ht="17.100000000000001" customHeight="1">
      <c r="A1217" s="848"/>
      <c r="B1217" s="860"/>
      <c r="C1217" s="1753" t="s">
        <v>569</v>
      </c>
      <c r="D1217" s="1754" t="s">
        <v>570</v>
      </c>
      <c r="E1217" s="1190">
        <v>15200</v>
      </c>
      <c r="F1217" s="1190">
        <v>23576</v>
      </c>
      <c r="G1217" s="1191">
        <f t="shared" si="232"/>
        <v>1.5510526315789475</v>
      </c>
    </row>
    <row r="1218" spans="1:7" ht="17.100000000000001" customHeight="1">
      <c r="A1218" s="848"/>
      <c r="B1218" s="860"/>
      <c r="C1218" s="999"/>
      <c r="D1218" s="999"/>
      <c r="E1218" s="882"/>
      <c r="F1218" s="882"/>
      <c r="G1218" s="883"/>
    </row>
    <row r="1219" spans="1:7" ht="17.100000000000001" customHeight="1">
      <c r="A1219" s="848"/>
      <c r="B1219" s="860"/>
      <c r="C1219" s="2901" t="s">
        <v>766</v>
      </c>
      <c r="D1219" s="2901"/>
      <c r="E1219" s="1765">
        <f t="shared" ref="E1219:F1219" si="240">E1220</f>
        <v>11003</v>
      </c>
      <c r="F1219" s="1765">
        <f t="shared" si="240"/>
        <v>11810</v>
      </c>
      <c r="G1219" s="1766">
        <f t="shared" ref="G1219:G1284" si="241">F1219/E1219</f>
        <v>1.073343633554485</v>
      </c>
    </row>
    <row r="1220" spans="1:7" ht="17.100000000000001" customHeight="1" thickBot="1">
      <c r="A1220" s="848"/>
      <c r="B1220" s="860"/>
      <c r="C1220" s="1767" t="s">
        <v>572</v>
      </c>
      <c r="D1220" s="1768" t="s">
        <v>573</v>
      </c>
      <c r="E1220" s="1572">
        <v>11003</v>
      </c>
      <c r="F1220" s="1572">
        <v>11810</v>
      </c>
      <c r="G1220" s="1602">
        <f t="shared" si="241"/>
        <v>1.073343633554485</v>
      </c>
    </row>
    <row r="1221" spans="1:7" ht="17.100000000000001" hidden="1" customHeight="1" thickBot="1">
      <c r="A1221" s="848"/>
      <c r="B1221" s="860"/>
      <c r="C1221" s="1769"/>
      <c r="D1221" s="1770"/>
      <c r="E1221" s="1756"/>
      <c r="F1221" s="1756"/>
      <c r="G1221" s="1242"/>
    </row>
    <row r="1222" spans="1:7" ht="17.100000000000001" hidden="1" customHeight="1">
      <c r="A1222" s="848"/>
      <c r="B1222" s="860"/>
      <c r="C1222" s="2920" t="s">
        <v>587</v>
      </c>
      <c r="D1222" s="2920"/>
      <c r="E1222" s="1771">
        <f>SUM(E1223:E1226)</f>
        <v>404758</v>
      </c>
      <c r="F1222" s="1771">
        <f t="shared" ref="F1222" si="242">SUM(F1223:F1226)</f>
        <v>0</v>
      </c>
      <c r="G1222" s="1772">
        <f t="shared" si="241"/>
        <v>0</v>
      </c>
    </row>
    <row r="1223" spans="1:7" ht="17.100000000000001" hidden="1" customHeight="1">
      <c r="A1223" s="848"/>
      <c r="B1223" s="860"/>
      <c r="C1223" s="1637" t="s">
        <v>524</v>
      </c>
      <c r="D1223" s="1604" t="s">
        <v>525</v>
      </c>
      <c r="E1223" s="1773">
        <v>22500</v>
      </c>
      <c r="F1223" s="1774">
        <v>0</v>
      </c>
      <c r="G1223" s="1775">
        <f t="shared" si="241"/>
        <v>0</v>
      </c>
    </row>
    <row r="1224" spans="1:7" ht="17.100000000000001" hidden="1" customHeight="1">
      <c r="A1224" s="848"/>
      <c r="B1224" s="860"/>
      <c r="C1224" s="1637" t="s">
        <v>547</v>
      </c>
      <c r="D1224" s="1776" t="s">
        <v>548</v>
      </c>
      <c r="E1224" s="1773">
        <v>8602</v>
      </c>
      <c r="F1224" s="1774">
        <v>0</v>
      </c>
      <c r="G1224" s="1775">
        <f t="shared" si="241"/>
        <v>0</v>
      </c>
    </row>
    <row r="1225" spans="1:7" ht="17.100000000000001" hidden="1" customHeight="1">
      <c r="A1225" s="848"/>
      <c r="B1225" s="860"/>
      <c r="C1225" s="1637" t="s">
        <v>652</v>
      </c>
      <c r="D1225" s="1776" t="s">
        <v>548</v>
      </c>
      <c r="E1225" s="1773">
        <v>317607</v>
      </c>
      <c r="F1225" s="1773">
        <v>0</v>
      </c>
      <c r="G1225" s="1777">
        <f t="shared" si="241"/>
        <v>0</v>
      </c>
    </row>
    <row r="1226" spans="1:7" ht="17.100000000000001" hidden="1" customHeight="1">
      <c r="A1226" s="848"/>
      <c r="B1226" s="860"/>
      <c r="C1226" s="1631" t="s">
        <v>609</v>
      </c>
      <c r="D1226" s="1632" t="s">
        <v>548</v>
      </c>
      <c r="E1226" s="1778">
        <v>56049</v>
      </c>
      <c r="F1226" s="1778">
        <v>0</v>
      </c>
      <c r="G1226" s="1779">
        <f t="shared" si="241"/>
        <v>0</v>
      </c>
    </row>
    <row r="1227" spans="1:7" ht="17.100000000000001" hidden="1" customHeight="1">
      <c r="A1227" s="848"/>
      <c r="B1227" s="860"/>
      <c r="C1227" s="1780"/>
      <c r="D1227" s="1781"/>
      <c r="E1227" s="1782"/>
      <c r="F1227" s="1782"/>
      <c r="G1227" s="1783"/>
    </row>
    <row r="1228" spans="1:7" ht="17.100000000000001" hidden="1" customHeight="1">
      <c r="A1228" s="848"/>
      <c r="B1228" s="860"/>
      <c r="C1228" s="2921" t="s">
        <v>574</v>
      </c>
      <c r="D1228" s="2921"/>
      <c r="E1228" s="1784">
        <f>E1229</f>
        <v>2707344</v>
      </c>
      <c r="F1228" s="1784">
        <f t="shared" ref="F1228" si="243">F1229</f>
        <v>0</v>
      </c>
      <c r="G1228" s="1785">
        <f t="shared" si="241"/>
        <v>0</v>
      </c>
    </row>
    <row r="1229" spans="1:7" ht="17.100000000000001" hidden="1" customHeight="1">
      <c r="A1229" s="848"/>
      <c r="B1229" s="860"/>
      <c r="C1229" s="2828" t="s">
        <v>575</v>
      </c>
      <c r="D1229" s="2829"/>
      <c r="E1229" s="1190">
        <f>SUM(E1230:E1234)</f>
        <v>2707344</v>
      </c>
      <c r="F1229" s="1190">
        <f>SUM(F1230:F1234)</f>
        <v>0</v>
      </c>
      <c r="G1229" s="1191">
        <f t="shared" si="241"/>
        <v>0</v>
      </c>
    </row>
    <row r="1230" spans="1:7" ht="17.100000000000001" hidden="1" customHeight="1">
      <c r="A1230" s="848"/>
      <c r="B1230" s="860"/>
      <c r="C1230" s="1786" t="s">
        <v>676</v>
      </c>
      <c r="D1230" s="1787" t="s">
        <v>577</v>
      </c>
      <c r="E1230" s="1190">
        <v>182321</v>
      </c>
      <c r="F1230" s="1190">
        <v>0</v>
      </c>
      <c r="G1230" s="1191">
        <f t="shared" si="241"/>
        <v>0</v>
      </c>
    </row>
    <row r="1231" spans="1:7" ht="17.100000000000001" hidden="1" customHeight="1">
      <c r="A1231" s="848"/>
      <c r="B1231" s="860"/>
      <c r="C1231" s="1590" t="s">
        <v>677</v>
      </c>
      <c r="D1231" s="1788" t="s">
        <v>577</v>
      </c>
      <c r="E1231" s="1572">
        <v>32577</v>
      </c>
      <c r="F1231" s="1572">
        <v>0</v>
      </c>
      <c r="G1231" s="1191">
        <f t="shared" si="241"/>
        <v>0</v>
      </c>
    </row>
    <row r="1232" spans="1:7" ht="17.100000000000001" hidden="1" customHeight="1">
      <c r="A1232" s="848"/>
      <c r="B1232" s="860"/>
      <c r="C1232" s="1036" t="s">
        <v>576</v>
      </c>
      <c r="D1232" s="1037" t="s">
        <v>622</v>
      </c>
      <c r="E1232" s="962">
        <v>73039</v>
      </c>
      <c r="F1232" s="962">
        <v>0</v>
      </c>
      <c r="G1232" s="963">
        <f t="shared" si="241"/>
        <v>0</v>
      </c>
    </row>
    <row r="1233" spans="1:7" ht="17.100000000000001" hidden="1" customHeight="1">
      <c r="A1233" s="848"/>
      <c r="B1233" s="860"/>
      <c r="C1233" s="1789" t="s">
        <v>655</v>
      </c>
      <c r="D1233" s="1790" t="s">
        <v>622</v>
      </c>
      <c r="E1233" s="1572">
        <v>2056838</v>
      </c>
      <c r="F1233" s="1572">
        <v>0</v>
      </c>
      <c r="G1233" s="1541">
        <f t="shared" si="241"/>
        <v>0</v>
      </c>
    </row>
    <row r="1234" spans="1:7" ht="17.100000000000001" hidden="1" customHeight="1">
      <c r="A1234" s="848"/>
      <c r="B1234" s="860"/>
      <c r="C1234" s="1789" t="s">
        <v>674</v>
      </c>
      <c r="D1234" s="1790" t="s">
        <v>622</v>
      </c>
      <c r="E1234" s="1572">
        <v>362569</v>
      </c>
      <c r="F1234" s="1572">
        <v>0</v>
      </c>
      <c r="G1234" s="1541">
        <f t="shared" si="241"/>
        <v>0</v>
      </c>
    </row>
    <row r="1235" spans="1:7" ht="17.100000000000001" hidden="1" customHeight="1">
      <c r="A1235" s="848"/>
      <c r="B1235" s="860"/>
      <c r="C1235" s="1036"/>
      <c r="D1235" s="1037"/>
      <c r="E1235" s="962"/>
      <c r="F1235" s="962"/>
      <c r="G1235" s="1541"/>
    </row>
    <row r="1236" spans="1:7" ht="17.100000000000001" hidden="1" customHeight="1">
      <c r="A1236" s="848"/>
      <c r="B1236" s="860"/>
      <c r="C1236" s="2918" t="s">
        <v>585</v>
      </c>
      <c r="D1236" s="2919"/>
      <c r="E1236" s="1573">
        <f>SUM(E1237:E1240)</f>
        <v>2634305</v>
      </c>
      <c r="F1236" s="1573">
        <f>SUM(F1238:F1240)</f>
        <v>0</v>
      </c>
      <c r="G1236" s="1191">
        <f t="shared" si="241"/>
        <v>0</v>
      </c>
    </row>
    <row r="1237" spans="1:7" ht="17.100000000000001" hidden="1" customHeight="1">
      <c r="A1237" s="848"/>
      <c r="B1237" s="860"/>
      <c r="C1237" s="1786" t="s">
        <v>676</v>
      </c>
      <c r="D1237" s="1787" t="s">
        <v>577</v>
      </c>
      <c r="E1237" s="1572">
        <v>182321</v>
      </c>
      <c r="F1237" s="1572">
        <v>0</v>
      </c>
      <c r="G1237" s="1541">
        <f t="shared" si="241"/>
        <v>0</v>
      </c>
    </row>
    <row r="1238" spans="1:7" ht="17.100000000000001" hidden="1" customHeight="1">
      <c r="A1238" s="848"/>
      <c r="B1238" s="860"/>
      <c r="C1238" s="1590" t="s">
        <v>677</v>
      </c>
      <c r="D1238" s="1788" t="s">
        <v>577</v>
      </c>
      <c r="E1238" s="1572">
        <v>32577</v>
      </c>
      <c r="F1238" s="1572">
        <v>0</v>
      </c>
      <c r="G1238" s="963">
        <f t="shared" si="241"/>
        <v>0</v>
      </c>
    </row>
    <row r="1239" spans="1:7" ht="17.100000000000001" hidden="1" customHeight="1">
      <c r="A1239" s="848"/>
      <c r="B1239" s="860"/>
      <c r="C1239" s="1057" t="s">
        <v>655</v>
      </c>
      <c r="D1239" s="1058" t="s">
        <v>622</v>
      </c>
      <c r="E1239" s="1572">
        <v>2056838</v>
      </c>
      <c r="F1239" s="1572">
        <v>0</v>
      </c>
      <c r="G1239" s="1541">
        <f t="shared" si="241"/>
        <v>0</v>
      </c>
    </row>
    <row r="1240" spans="1:7" ht="17.100000000000001" hidden="1" customHeight="1" thickBot="1">
      <c r="A1240" s="848"/>
      <c r="B1240" s="860"/>
      <c r="C1240" s="1366" t="s">
        <v>674</v>
      </c>
      <c r="D1240" s="1037" t="s">
        <v>622</v>
      </c>
      <c r="E1240" s="962">
        <v>362569</v>
      </c>
      <c r="F1240" s="962"/>
      <c r="G1240" s="963">
        <f t="shared" si="241"/>
        <v>0</v>
      </c>
    </row>
    <row r="1241" spans="1:7" ht="17.100000000000001" customHeight="1" thickBot="1">
      <c r="A1241" s="848"/>
      <c r="B1241" s="1072" t="s">
        <v>848</v>
      </c>
      <c r="C1241" s="1073"/>
      <c r="D1241" s="1074" t="s">
        <v>849</v>
      </c>
      <c r="E1241" s="1075">
        <f>E1242</f>
        <v>216813</v>
      </c>
      <c r="F1241" s="1075">
        <f t="shared" ref="F1241:F1242" si="244">F1242</f>
        <v>147907</v>
      </c>
      <c r="G1241" s="1076">
        <f t="shared" si="241"/>
        <v>0.68218695373432403</v>
      </c>
    </row>
    <row r="1242" spans="1:7" ht="17.100000000000001" customHeight="1">
      <c r="A1242" s="848"/>
      <c r="B1242" s="860"/>
      <c r="C1242" s="2802" t="s">
        <v>521</v>
      </c>
      <c r="D1242" s="2802"/>
      <c r="E1242" s="854">
        <f>E1243</f>
        <v>216813</v>
      </c>
      <c r="F1242" s="854">
        <f t="shared" si="244"/>
        <v>147907</v>
      </c>
      <c r="G1242" s="855">
        <f t="shared" si="241"/>
        <v>0.68218695373432403</v>
      </c>
    </row>
    <row r="1243" spans="1:7" ht="17.100000000000001" customHeight="1">
      <c r="A1243" s="848"/>
      <c r="B1243" s="860"/>
      <c r="C1243" s="2907" t="s">
        <v>522</v>
      </c>
      <c r="D1243" s="2907"/>
      <c r="E1243" s="1707">
        <f>E1244+E1250</f>
        <v>216813</v>
      </c>
      <c r="F1243" s="1707">
        <f t="shared" ref="F1243" si="245">F1244+F1250</f>
        <v>147907</v>
      </c>
      <c r="G1243" s="1708">
        <f t="shared" si="241"/>
        <v>0.68218695373432403</v>
      </c>
    </row>
    <row r="1244" spans="1:7" ht="17.100000000000001" customHeight="1">
      <c r="A1244" s="848"/>
      <c r="B1244" s="860"/>
      <c r="C1244" s="2917" t="s">
        <v>523</v>
      </c>
      <c r="D1244" s="2917"/>
      <c r="E1244" s="1709">
        <f>SUM(E1245:E1249)</f>
        <v>190854</v>
      </c>
      <c r="F1244" s="1709">
        <f t="shared" ref="F1244" si="246">SUM(F1245:F1249)</f>
        <v>137507</v>
      </c>
      <c r="G1244" s="1710">
        <f t="shared" si="241"/>
        <v>0.72048267261886045</v>
      </c>
    </row>
    <row r="1245" spans="1:7" ht="17.100000000000001" customHeight="1">
      <c r="A1245" s="848"/>
      <c r="B1245" s="860"/>
      <c r="C1245" s="1753" t="s">
        <v>524</v>
      </c>
      <c r="D1245" s="1754" t="s">
        <v>525</v>
      </c>
      <c r="E1245" s="1707">
        <v>159465</v>
      </c>
      <c r="F1245" s="1707">
        <v>105373</v>
      </c>
      <c r="G1245" s="1708">
        <f t="shared" si="241"/>
        <v>0.6607907691342928</v>
      </c>
    </row>
    <row r="1246" spans="1:7" ht="17.100000000000001" customHeight="1">
      <c r="A1246" s="848"/>
      <c r="B1246" s="860"/>
      <c r="C1246" s="1536" t="s">
        <v>526</v>
      </c>
      <c r="D1246" s="1537" t="s">
        <v>527</v>
      </c>
      <c r="E1246" s="1707">
        <v>0</v>
      </c>
      <c r="F1246" s="1707">
        <v>9624</v>
      </c>
      <c r="G1246" s="1708"/>
    </row>
    <row r="1247" spans="1:7" ht="17.100000000000001" customHeight="1">
      <c r="A1247" s="848"/>
      <c r="B1247" s="860"/>
      <c r="C1247" s="1536" t="s">
        <v>528</v>
      </c>
      <c r="D1247" s="1537" t="s">
        <v>529</v>
      </c>
      <c r="E1247" s="1707">
        <v>27479</v>
      </c>
      <c r="F1247" s="1707">
        <v>19693</v>
      </c>
      <c r="G1247" s="1708">
        <f t="shared" si="241"/>
        <v>0.71665635576258235</v>
      </c>
    </row>
    <row r="1248" spans="1:7" ht="17.100000000000001" customHeight="1">
      <c r="A1248" s="848"/>
      <c r="B1248" s="860"/>
      <c r="C1248" s="1745" t="s">
        <v>530</v>
      </c>
      <c r="D1248" s="1746" t="s">
        <v>531</v>
      </c>
      <c r="E1248" s="1707">
        <v>3910</v>
      </c>
      <c r="F1248" s="1707">
        <v>2817</v>
      </c>
      <c r="G1248" s="1708">
        <f t="shared" si="241"/>
        <v>0.72046035805626596</v>
      </c>
    </row>
    <row r="1249" spans="1:7" ht="17.100000000000001" customHeight="1">
      <c r="A1249" s="848"/>
      <c r="B1249" s="860"/>
      <c r="C1249" s="1366"/>
      <c r="D1249" s="1037"/>
      <c r="E1249" s="962"/>
      <c r="F1249" s="962"/>
      <c r="G1249" s="963"/>
    </row>
    <row r="1250" spans="1:7" ht="17.100000000000001" customHeight="1">
      <c r="A1250" s="848"/>
      <c r="B1250" s="860"/>
      <c r="C1250" s="2908" t="s">
        <v>534</v>
      </c>
      <c r="D1250" s="2908"/>
      <c r="E1250" s="1763">
        <f>SUM(E1251:E1256)</f>
        <v>25959</v>
      </c>
      <c r="F1250" s="1763">
        <f t="shared" ref="F1250" si="247">SUM(F1251:F1256)</f>
        <v>10400</v>
      </c>
      <c r="G1250" s="1764">
        <f t="shared" si="241"/>
        <v>0.40063176547632806</v>
      </c>
    </row>
    <row r="1251" spans="1:7" ht="17.100000000000001" customHeight="1">
      <c r="A1251" s="848"/>
      <c r="B1251" s="860"/>
      <c r="C1251" s="1057" t="s">
        <v>537</v>
      </c>
      <c r="D1251" s="1058" t="s">
        <v>538</v>
      </c>
      <c r="E1251" s="1190">
        <v>2493</v>
      </c>
      <c r="F1251" s="1190">
        <v>2400</v>
      </c>
      <c r="G1251" s="1191">
        <f t="shared" si="241"/>
        <v>0.96269554753309261</v>
      </c>
    </row>
    <row r="1252" spans="1:7" ht="17.100000000000001" customHeight="1">
      <c r="A1252" s="848"/>
      <c r="B1252" s="860"/>
      <c r="C1252" s="1753" t="s">
        <v>714</v>
      </c>
      <c r="D1252" s="1754" t="s">
        <v>715</v>
      </c>
      <c r="E1252" s="1190">
        <v>1800</v>
      </c>
      <c r="F1252" s="1190">
        <v>2200</v>
      </c>
      <c r="G1252" s="1191">
        <f t="shared" si="241"/>
        <v>1.2222222222222223</v>
      </c>
    </row>
    <row r="1253" spans="1:7" ht="17.100000000000001" customHeight="1">
      <c r="A1253" s="848"/>
      <c r="B1253" s="860"/>
      <c r="C1253" s="1753" t="s">
        <v>541</v>
      </c>
      <c r="D1253" s="1754" t="s">
        <v>542</v>
      </c>
      <c r="E1253" s="1190">
        <v>10384</v>
      </c>
      <c r="F1253" s="1190">
        <v>3700</v>
      </c>
      <c r="G1253" s="1191">
        <f t="shared" si="241"/>
        <v>0.35631741140215717</v>
      </c>
    </row>
    <row r="1254" spans="1:7" ht="17.100000000000001" customHeight="1" thickBot="1">
      <c r="A1254" s="848"/>
      <c r="B1254" s="860"/>
      <c r="C1254" s="1753" t="s">
        <v>547</v>
      </c>
      <c r="D1254" s="1754" t="s">
        <v>548</v>
      </c>
      <c r="E1254" s="1190">
        <v>4350</v>
      </c>
      <c r="F1254" s="1190">
        <v>2100</v>
      </c>
      <c r="G1254" s="1191">
        <f t="shared" si="241"/>
        <v>0.48275862068965519</v>
      </c>
    </row>
    <row r="1255" spans="1:7" ht="17.100000000000001" hidden="1" customHeight="1">
      <c r="A1255" s="848"/>
      <c r="B1255" s="860"/>
      <c r="C1255" s="1753" t="s">
        <v>559</v>
      </c>
      <c r="D1255" s="1754" t="s">
        <v>560</v>
      </c>
      <c r="E1255" s="1190">
        <v>6538</v>
      </c>
      <c r="F1255" s="1190">
        <v>0</v>
      </c>
      <c r="G1255" s="1191">
        <f t="shared" si="241"/>
        <v>0</v>
      </c>
    </row>
    <row r="1256" spans="1:7" ht="17.100000000000001" hidden="1" customHeight="1" thickBot="1">
      <c r="A1256" s="848"/>
      <c r="B1256" s="860"/>
      <c r="C1256" s="1753" t="s">
        <v>565</v>
      </c>
      <c r="D1256" s="1754" t="s">
        <v>566</v>
      </c>
      <c r="E1256" s="1190">
        <v>394</v>
      </c>
      <c r="F1256" s="1190">
        <v>0</v>
      </c>
      <c r="G1256" s="1191">
        <f t="shared" si="241"/>
        <v>0</v>
      </c>
    </row>
    <row r="1257" spans="1:7" ht="17.100000000000001" customHeight="1" thickBot="1">
      <c r="A1257" s="848"/>
      <c r="B1257" s="1072" t="s">
        <v>850</v>
      </c>
      <c r="C1257" s="1073"/>
      <c r="D1257" s="1074" t="s">
        <v>254</v>
      </c>
      <c r="E1257" s="1075">
        <f>E1258+E1287</f>
        <v>16372673</v>
      </c>
      <c r="F1257" s="1075">
        <f>F1258+F1287</f>
        <v>10385130</v>
      </c>
      <c r="G1257" s="1076">
        <f t="shared" si="241"/>
        <v>0.63429655011127384</v>
      </c>
    </row>
    <row r="1258" spans="1:7" ht="17.100000000000001" customHeight="1">
      <c r="A1258" s="848"/>
      <c r="B1258" s="860"/>
      <c r="C1258" s="2802" t="s">
        <v>521</v>
      </c>
      <c r="D1258" s="2802"/>
      <c r="E1258" s="854">
        <f>E1259+E1271+E1278+E1283</f>
        <v>16001112</v>
      </c>
      <c r="F1258" s="854">
        <f t="shared" ref="F1258" si="248">F1259+F1271+F1278+F1283</f>
        <v>10213130</v>
      </c>
      <c r="G1258" s="855">
        <f t="shared" si="241"/>
        <v>0.63827626479959643</v>
      </c>
    </row>
    <row r="1259" spans="1:7" ht="17.100000000000001" customHeight="1">
      <c r="A1259" s="848"/>
      <c r="B1259" s="860"/>
      <c r="C1259" s="2907" t="s">
        <v>522</v>
      </c>
      <c r="D1259" s="2907"/>
      <c r="E1259" s="1707">
        <f t="shared" ref="E1259:F1259" si="249">E1260+E1266</f>
        <v>647335</v>
      </c>
      <c r="F1259" s="1707">
        <f t="shared" si="249"/>
        <v>650498</v>
      </c>
      <c r="G1259" s="1708">
        <f t="shared" si="241"/>
        <v>1.0048861872137302</v>
      </c>
    </row>
    <row r="1260" spans="1:7" ht="17.100000000000001" customHeight="1">
      <c r="A1260" s="848"/>
      <c r="B1260" s="860"/>
      <c r="C1260" s="2917" t="s">
        <v>523</v>
      </c>
      <c r="D1260" s="2917"/>
      <c r="E1260" s="1709">
        <f t="shared" ref="E1260:F1260" si="250">SUM(E1261:E1264)</f>
        <v>44111</v>
      </c>
      <c r="F1260" s="1709">
        <f t="shared" si="250"/>
        <v>3200</v>
      </c>
      <c r="G1260" s="1710">
        <f t="shared" si="241"/>
        <v>7.2544263335675915E-2</v>
      </c>
    </row>
    <row r="1261" spans="1:7" ht="17.100000000000001" hidden="1" customHeight="1">
      <c r="A1261" s="848"/>
      <c r="B1261" s="860"/>
      <c r="C1261" s="1753" t="s">
        <v>524</v>
      </c>
      <c r="D1261" s="1754" t="s">
        <v>525</v>
      </c>
      <c r="E1261" s="1707">
        <v>34195</v>
      </c>
      <c r="F1261" s="1707">
        <v>0</v>
      </c>
      <c r="G1261" s="1708">
        <f t="shared" si="241"/>
        <v>0</v>
      </c>
    </row>
    <row r="1262" spans="1:7" ht="17.100000000000001" hidden="1" customHeight="1">
      <c r="A1262" s="848"/>
      <c r="B1262" s="860"/>
      <c r="C1262" s="1753" t="s">
        <v>528</v>
      </c>
      <c r="D1262" s="1754" t="s">
        <v>529</v>
      </c>
      <c r="E1262" s="1707">
        <v>5877</v>
      </c>
      <c r="F1262" s="1707">
        <v>0</v>
      </c>
      <c r="G1262" s="1708">
        <f t="shared" si="241"/>
        <v>0</v>
      </c>
    </row>
    <row r="1263" spans="1:7" ht="17.100000000000001" hidden="1" customHeight="1">
      <c r="A1263" s="848"/>
      <c r="B1263" s="860"/>
      <c r="C1263" s="1753" t="s">
        <v>530</v>
      </c>
      <c r="D1263" s="1754" t="s">
        <v>531</v>
      </c>
      <c r="E1263" s="1707">
        <v>839</v>
      </c>
      <c r="F1263" s="1707">
        <v>0</v>
      </c>
      <c r="G1263" s="1708">
        <f t="shared" si="241"/>
        <v>0</v>
      </c>
    </row>
    <row r="1264" spans="1:7" ht="17.100000000000001" customHeight="1">
      <c r="A1264" s="848"/>
      <c r="B1264" s="860"/>
      <c r="C1264" s="1753" t="s">
        <v>532</v>
      </c>
      <c r="D1264" s="1754" t="s">
        <v>533</v>
      </c>
      <c r="E1264" s="1707">
        <v>3200</v>
      </c>
      <c r="F1264" s="1707">
        <v>3200</v>
      </c>
      <c r="G1264" s="1708">
        <f t="shared" si="241"/>
        <v>1</v>
      </c>
    </row>
    <row r="1265" spans="1:7" ht="17.100000000000001" customHeight="1">
      <c r="A1265" s="848"/>
      <c r="B1265" s="860"/>
      <c r="C1265" s="999"/>
      <c r="D1265" s="999"/>
      <c r="E1265" s="882"/>
      <c r="F1265" s="882"/>
      <c r="G1265" s="883"/>
    </row>
    <row r="1266" spans="1:7" ht="17.100000000000001" customHeight="1">
      <c r="A1266" s="848"/>
      <c r="B1266" s="860"/>
      <c r="C1266" s="2908" t="s">
        <v>534</v>
      </c>
      <c r="D1266" s="2908"/>
      <c r="E1266" s="1709">
        <f t="shared" ref="E1266:F1266" si="251">SUM(E1267:E1269)</f>
        <v>603224</v>
      </c>
      <c r="F1266" s="1709">
        <f t="shared" si="251"/>
        <v>647298</v>
      </c>
      <c r="G1266" s="1710">
        <f t="shared" si="241"/>
        <v>1.07306406906887</v>
      </c>
    </row>
    <row r="1267" spans="1:7" ht="17.100000000000001" customHeight="1">
      <c r="A1267" s="848"/>
      <c r="B1267" s="860"/>
      <c r="C1267" s="1753" t="s">
        <v>537</v>
      </c>
      <c r="D1267" s="1754" t="s">
        <v>538</v>
      </c>
      <c r="E1267" s="1707">
        <v>9055</v>
      </c>
      <c r="F1267" s="1707">
        <v>3000</v>
      </c>
      <c r="G1267" s="1708">
        <f t="shared" si="241"/>
        <v>0.33130866924351188</v>
      </c>
    </row>
    <row r="1268" spans="1:7" ht="17.100000000000001" customHeight="1">
      <c r="A1268" s="848"/>
      <c r="B1268" s="860"/>
      <c r="C1268" s="1753" t="s">
        <v>547</v>
      </c>
      <c r="D1268" s="1754" t="s">
        <v>548</v>
      </c>
      <c r="E1268" s="1707">
        <v>23000</v>
      </c>
      <c r="F1268" s="1707">
        <v>27150</v>
      </c>
      <c r="G1268" s="1708">
        <f t="shared" si="241"/>
        <v>1.1804347826086956</v>
      </c>
    </row>
    <row r="1269" spans="1:7" ht="17.100000000000001" customHeight="1">
      <c r="A1269" s="848"/>
      <c r="B1269" s="860"/>
      <c r="C1269" s="1753" t="s">
        <v>559</v>
      </c>
      <c r="D1269" s="1754" t="s">
        <v>560</v>
      </c>
      <c r="E1269" s="1707">
        <v>571169</v>
      </c>
      <c r="F1269" s="1707">
        <v>617148</v>
      </c>
      <c r="G1269" s="1708">
        <f t="shared" si="241"/>
        <v>1.0804998170418914</v>
      </c>
    </row>
    <row r="1270" spans="1:7" ht="17.100000000000001" customHeight="1">
      <c r="A1270" s="848"/>
      <c r="B1270" s="860"/>
      <c r="C1270" s="999"/>
      <c r="D1270" s="999"/>
      <c r="E1270" s="882"/>
      <c r="F1270" s="882"/>
      <c r="G1270" s="883"/>
    </row>
    <row r="1271" spans="1:7" ht="17.100000000000001" customHeight="1">
      <c r="A1271" s="848"/>
      <c r="B1271" s="860"/>
      <c r="C1271" s="2901" t="s">
        <v>618</v>
      </c>
      <c r="D1271" s="2901"/>
      <c r="E1271" s="1707">
        <f>SUM(E1272:E1276)</f>
        <v>14922503</v>
      </c>
      <c r="F1271" s="1707">
        <f>SUM(F1272:F1276)</f>
        <v>9027201</v>
      </c>
      <c r="G1271" s="1708">
        <f t="shared" si="241"/>
        <v>0.60493879612555612</v>
      </c>
    </row>
    <row r="1272" spans="1:7" ht="63.75" customHeight="1">
      <c r="A1272" s="848"/>
      <c r="B1272" s="860"/>
      <c r="C1272" s="1759" t="s">
        <v>460</v>
      </c>
      <c r="D1272" s="1733" t="s">
        <v>643</v>
      </c>
      <c r="E1272" s="1765">
        <v>8184491</v>
      </c>
      <c r="F1272" s="1707">
        <v>4670132</v>
      </c>
      <c r="G1272" s="1766">
        <f t="shared" si="241"/>
        <v>0.57060750631896351</v>
      </c>
    </row>
    <row r="1273" spans="1:7" ht="63.75" hidden="1">
      <c r="A1273" s="848"/>
      <c r="B1273" s="860"/>
      <c r="C1273" s="1727" t="s">
        <v>328</v>
      </c>
      <c r="D1273" s="1791" t="s">
        <v>590</v>
      </c>
      <c r="E1273" s="1707">
        <v>5161209</v>
      </c>
      <c r="F1273" s="1707">
        <v>0</v>
      </c>
      <c r="G1273" s="1708">
        <f t="shared" si="241"/>
        <v>0</v>
      </c>
    </row>
    <row r="1274" spans="1:7" ht="43.5" hidden="1" customHeight="1">
      <c r="A1274" s="848"/>
      <c r="B1274" s="860"/>
      <c r="C1274" s="1727" t="s">
        <v>633</v>
      </c>
      <c r="D1274" s="1792" t="s">
        <v>634</v>
      </c>
      <c r="E1274" s="1707">
        <v>18000</v>
      </c>
      <c r="F1274" s="1707">
        <v>0</v>
      </c>
      <c r="G1274" s="1708">
        <f t="shared" si="241"/>
        <v>0</v>
      </c>
    </row>
    <row r="1275" spans="1:7" ht="43.5" hidden="1" customHeight="1">
      <c r="A1275" s="848"/>
      <c r="B1275" s="860"/>
      <c r="C1275" s="1727" t="s">
        <v>431</v>
      </c>
      <c r="D1275" s="1793" t="s">
        <v>644</v>
      </c>
      <c r="E1275" s="1707">
        <v>454</v>
      </c>
      <c r="F1275" s="1707">
        <v>0</v>
      </c>
      <c r="G1275" s="1708">
        <f t="shared" si="241"/>
        <v>0</v>
      </c>
    </row>
    <row r="1276" spans="1:7" ht="61.5" customHeight="1">
      <c r="A1276" s="848"/>
      <c r="B1276" s="860"/>
      <c r="C1276" s="1794" t="s">
        <v>328</v>
      </c>
      <c r="D1276" s="1210" t="s">
        <v>590</v>
      </c>
      <c r="E1276" s="1190">
        <v>1558349</v>
      </c>
      <c r="F1276" s="1190">
        <v>4357069</v>
      </c>
      <c r="G1276" s="1191">
        <f t="shared" si="241"/>
        <v>2.795951997915743</v>
      </c>
    </row>
    <row r="1277" spans="1:7" ht="17.100000000000001" customHeight="1">
      <c r="A1277" s="848"/>
      <c r="B1277" s="860"/>
      <c r="C1277" s="1728"/>
      <c r="D1277" s="1795"/>
      <c r="E1277" s="1730"/>
      <c r="F1277" s="1730"/>
      <c r="G1277" s="1731"/>
    </row>
    <row r="1278" spans="1:7" ht="17.100000000000001" customHeight="1">
      <c r="A1278" s="848"/>
      <c r="B1278" s="860"/>
      <c r="C1278" s="2828" t="s">
        <v>766</v>
      </c>
      <c r="D1278" s="2828"/>
      <c r="E1278" s="1190">
        <f t="shared" ref="E1278:F1278" si="252">SUM(E1279:E1281)</f>
        <v>402995</v>
      </c>
      <c r="F1278" s="1190">
        <f t="shared" si="252"/>
        <v>475030</v>
      </c>
      <c r="G1278" s="1191">
        <f t="shared" si="241"/>
        <v>1.1787491159939949</v>
      </c>
    </row>
    <row r="1279" spans="1:7" ht="17.100000000000001" customHeight="1">
      <c r="A1279" s="848"/>
      <c r="B1279" s="860"/>
      <c r="C1279" s="1753" t="s">
        <v>572</v>
      </c>
      <c r="D1279" s="1754" t="s">
        <v>573</v>
      </c>
      <c r="E1279" s="1707">
        <v>43195</v>
      </c>
      <c r="F1279" s="1707">
        <v>45030</v>
      </c>
      <c r="G1279" s="1708">
        <f t="shared" si="241"/>
        <v>1.0424817687232319</v>
      </c>
    </row>
    <row r="1280" spans="1:7" ht="17.100000000000001" customHeight="1">
      <c r="A1280" s="848"/>
      <c r="B1280" s="860"/>
      <c r="C1280" s="1753" t="s">
        <v>851</v>
      </c>
      <c r="D1280" s="1754" t="s">
        <v>852</v>
      </c>
      <c r="E1280" s="1707">
        <v>100000</v>
      </c>
      <c r="F1280" s="1707">
        <v>100000</v>
      </c>
      <c r="G1280" s="1708">
        <f t="shared" si="241"/>
        <v>1</v>
      </c>
    </row>
    <row r="1281" spans="1:7" ht="17.100000000000001" customHeight="1">
      <c r="A1281" s="848"/>
      <c r="B1281" s="860"/>
      <c r="C1281" s="1753" t="s">
        <v>831</v>
      </c>
      <c r="D1281" s="1754" t="s">
        <v>832</v>
      </c>
      <c r="E1281" s="1707">
        <v>259800</v>
      </c>
      <c r="F1281" s="1707">
        <v>330000</v>
      </c>
      <c r="G1281" s="1708">
        <f t="shared" si="241"/>
        <v>1.2702078521939955</v>
      </c>
    </row>
    <row r="1282" spans="1:7" ht="17.100000000000001" customHeight="1">
      <c r="A1282" s="848"/>
      <c r="B1282" s="860"/>
      <c r="C1282" s="1366"/>
      <c r="D1282" s="1376"/>
      <c r="E1282" s="962"/>
      <c r="F1282" s="962"/>
      <c r="G1282" s="963"/>
    </row>
    <row r="1283" spans="1:7" ht="17.100000000000001" customHeight="1">
      <c r="A1283" s="848"/>
      <c r="B1283" s="860"/>
      <c r="C1283" s="2915" t="s">
        <v>587</v>
      </c>
      <c r="D1283" s="2916"/>
      <c r="E1283" s="1707">
        <f>E1284+E1285</f>
        <v>28279</v>
      </c>
      <c r="F1283" s="1707">
        <f>F1284+F1285</f>
        <v>60401</v>
      </c>
      <c r="G1283" s="1708">
        <f t="shared" si="241"/>
        <v>2.1358958944800026</v>
      </c>
    </row>
    <row r="1284" spans="1:7" ht="54" hidden="1" customHeight="1">
      <c r="A1284" s="848"/>
      <c r="B1284" s="860"/>
      <c r="C1284" s="1727" t="s">
        <v>427</v>
      </c>
      <c r="D1284" s="1796" t="s">
        <v>643</v>
      </c>
      <c r="E1284" s="1707">
        <v>28279</v>
      </c>
      <c r="F1284" s="1707">
        <v>0</v>
      </c>
      <c r="G1284" s="1708">
        <f t="shared" si="241"/>
        <v>0</v>
      </c>
    </row>
    <row r="1285" spans="1:7" ht="15" customHeight="1">
      <c r="A1285" s="848"/>
      <c r="B1285" s="860"/>
      <c r="C1285" s="1727" t="s">
        <v>853</v>
      </c>
      <c r="D1285" s="1796" t="s">
        <v>760</v>
      </c>
      <c r="E1285" s="1707">
        <v>0</v>
      </c>
      <c r="F1285" s="1707">
        <v>60401</v>
      </c>
      <c r="G1285" s="1708"/>
    </row>
    <row r="1286" spans="1:7" ht="17.100000000000001" customHeight="1">
      <c r="A1286" s="848"/>
      <c r="B1286" s="860"/>
      <c r="C1286" s="999"/>
      <c r="D1286" s="999"/>
      <c r="E1286" s="882"/>
      <c r="F1286" s="882"/>
      <c r="G1286" s="883"/>
    </row>
    <row r="1287" spans="1:7" ht="17.100000000000001" customHeight="1">
      <c r="A1287" s="848"/>
      <c r="B1287" s="860"/>
      <c r="C1287" s="2900" t="s">
        <v>574</v>
      </c>
      <c r="D1287" s="2900"/>
      <c r="E1287" s="1797">
        <f>E1288</f>
        <v>371561</v>
      </c>
      <c r="F1287" s="1797">
        <f t="shared" ref="F1287" si="253">F1288</f>
        <v>172000</v>
      </c>
      <c r="G1287" s="1798">
        <f t="shared" ref="G1287:G1358" si="254">F1287/E1287</f>
        <v>0.46291187718840243</v>
      </c>
    </row>
    <row r="1288" spans="1:7">
      <c r="A1288" s="848"/>
      <c r="B1288" s="860"/>
      <c r="C1288" s="2889" t="s">
        <v>575</v>
      </c>
      <c r="D1288" s="2889"/>
      <c r="E1288" s="1707">
        <f>SUM(E1289:E1291)</f>
        <v>371561</v>
      </c>
      <c r="F1288" s="1707">
        <f t="shared" ref="F1288" si="255">SUM(F1289:F1291)</f>
        <v>172000</v>
      </c>
      <c r="G1288" s="1708">
        <f t="shared" si="254"/>
        <v>0.46291187718840243</v>
      </c>
    </row>
    <row r="1289" spans="1:7" ht="48.75" customHeight="1">
      <c r="A1289" s="848"/>
      <c r="B1289" s="860"/>
      <c r="C1289" s="1536" t="s">
        <v>658</v>
      </c>
      <c r="D1289" s="1376" t="s">
        <v>662</v>
      </c>
      <c r="E1289" s="1765">
        <v>87321</v>
      </c>
      <c r="F1289" s="1765">
        <v>67000</v>
      </c>
      <c r="G1289" s="1766">
        <f t="shared" si="254"/>
        <v>0.76728392940987844</v>
      </c>
    </row>
    <row r="1290" spans="1:7" ht="56.25" customHeight="1" thickBot="1">
      <c r="A1290" s="848"/>
      <c r="B1290" s="860"/>
      <c r="C1290" s="1753" t="s">
        <v>659</v>
      </c>
      <c r="D1290" s="1799" t="s">
        <v>660</v>
      </c>
      <c r="E1290" s="1800">
        <v>266406</v>
      </c>
      <c r="F1290" s="1800">
        <v>105000</v>
      </c>
      <c r="G1290" s="1801">
        <f t="shared" si="254"/>
        <v>0.39413526722371117</v>
      </c>
    </row>
    <row r="1291" spans="1:7" ht="28.5" hidden="1" customHeight="1" thickBot="1">
      <c r="A1291" s="848"/>
      <c r="B1291" s="860"/>
      <c r="C1291" s="1036" t="s">
        <v>433</v>
      </c>
      <c r="D1291" s="1399" t="s">
        <v>761</v>
      </c>
      <c r="E1291" s="962">
        <v>17834</v>
      </c>
      <c r="F1291" s="962">
        <v>0</v>
      </c>
      <c r="G1291" s="963">
        <f t="shared" si="254"/>
        <v>0</v>
      </c>
    </row>
    <row r="1292" spans="1:7" ht="17.100000000000001" customHeight="1" thickBot="1">
      <c r="A1292" s="842" t="s">
        <v>208</v>
      </c>
      <c r="B1292" s="1205"/>
      <c r="C1292" s="1206"/>
      <c r="D1292" s="1207" t="s">
        <v>854</v>
      </c>
      <c r="E1292" s="1208">
        <f>SUM(E1293,E1305)</f>
        <v>1876738</v>
      </c>
      <c r="F1292" s="1208">
        <f t="shared" ref="F1292" si="256">SUM(F1293,F1305)</f>
        <v>719000</v>
      </c>
      <c r="G1292" s="1209">
        <f t="shared" si="254"/>
        <v>0.38311154780262346</v>
      </c>
    </row>
    <row r="1293" spans="1:7" ht="17.100000000000001" customHeight="1" thickBot="1">
      <c r="A1293" s="848"/>
      <c r="B1293" s="1072" t="s">
        <v>855</v>
      </c>
      <c r="C1293" s="1073"/>
      <c r="D1293" s="1074" t="s">
        <v>435</v>
      </c>
      <c r="E1293" s="1075">
        <f t="shared" ref="E1293:F1293" si="257">E1294</f>
        <v>226738</v>
      </c>
      <c r="F1293" s="1075">
        <f t="shared" si="257"/>
        <v>219000</v>
      </c>
      <c r="G1293" s="1076">
        <f t="shared" si="254"/>
        <v>0.96587250482936249</v>
      </c>
    </row>
    <row r="1294" spans="1:7" ht="17.100000000000001" customHeight="1">
      <c r="A1294" s="848"/>
      <c r="B1294" s="2811"/>
      <c r="C1294" s="2813" t="s">
        <v>521</v>
      </c>
      <c r="D1294" s="2813"/>
      <c r="E1294" s="1802">
        <f>E1295+E1300+E1303</f>
        <v>226738</v>
      </c>
      <c r="F1294" s="1802">
        <f t="shared" ref="F1294" si="258">F1295+F1300+F1303</f>
        <v>219000</v>
      </c>
      <c r="G1294" s="1549">
        <f t="shared" si="254"/>
        <v>0.96587250482936249</v>
      </c>
    </row>
    <row r="1295" spans="1:7" ht="17.100000000000001" customHeight="1">
      <c r="A1295" s="848"/>
      <c r="B1295" s="2806"/>
      <c r="C1295" s="2907" t="s">
        <v>522</v>
      </c>
      <c r="D1295" s="2907"/>
      <c r="E1295" s="1707">
        <f t="shared" ref="E1295:F1295" si="259">SUM(E1296)</f>
        <v>18000</v>
      </c>
      <c r="F1295" s="1707">
        <f t="shared" si="259"/>
        <v>19000</v>
      </c>
      <c r="G1295" s="1708">
        <f t="shared" si="254"/>
        <v>1.0555555555555556</v>
      </c>
    </row>
    <row r="1296" spans="1:7" ht="17.100000000000001" customHeight="1">
      <c r="A1296" s="848"/>
      <c r="B1296" s="2806"/>
      <c r="C1296" s="2908" t="s">
        <v>534</v>
      </c>
      <c r="D1296" s="2908"/>
      <c r="E1296" s="1709">
        <f>SUM(E1297:E1298)</f>
        <v>18000</v>
      </c>
      <c r="F1296" s="1709">
        <f t="shared" ref="F1296" si="260">SUM(F1297:F1298)</f>
        <v>19000</v>
      </c>
      <c r="G1296" s="1710">
        <f t="shared" si="254"/>
        <v>1.0555555555555556</v>
      </c>
    </row>
    <row r="1297" spans="1:7" ht="17.100000000000001" customHeight="1">
      <c r="A1297" s="848"/>
      <c r="B1297" s="2806"/>
      <c r="C1297" s="1803" t="s">
        <v>547</v>
      </c>
      <c r="D1297" s="1754" t="s">
        <v>548</v>
      </c>
      <c r="E1297" s="1707">
        <v>3000</v>
      </c>
      <c r="F1297" s="1707">
        <v>4000</v>
      </c>
      <c r="G1297" s="1708">
        <f t="shared" si="254"/>
        <v>1.3333333333333333</v>
      </c>
    </row>
    <row r="1298" spans="1:7" ht="17.100000000000001" customHeight="1">
      <c r="A1298" s="848"/>
      <c r="B1298" s="2806"/>
      <c r="C1298" s="1803" t="s">
        <v>631</v>
      </c>
      <c r="D1298" s="1754" t="s">
        <v>632</v>
      </c>
      <c r="E1298" s="1707">
        <v>15000</v>
      </c>
      <c r="F1298" s="1707">
        <v>15000</v>
      </c>
      <c r="G1298" s="1708">
        <f t="shared" si="254"/>
        <v>1</v>
      </c>
    </row>
    <row r="1299" spans="1:7" ht="17.100000000000001" customHeight="1">
      <c r="A1299" s="848"/>
      <c r="B1299" s="2806"/>
      <c r="C1299" s="1803"/>
      <c r="D1299" s="1804"/>
      <c r="E1299" s="1707"/>
      <c r="F1299" s="1707"/>
      <c r="G1299" s="1708"/>
    </row>
    <row r="1300" spans="1:7" ht="17.100000000000001" hidden="1" customHeight="1">
      <c r="A1300" s="848"/>
      <c r="B1300" s="2806"/>
      <c r="C1300" s="2914" t="s">
        <v>587</v>
      </c>
      <c r="D1300" s="2914"/>
      <c r="E1300" s="1707">
        <f>E1301</f>
        <v>8738</v>
      </c>
      <c r="F1300" s="1707">
        <f t="shared" ref="F1300" si="261">F1301</f>
        <v>0</v>
      </c>
      <c r="G1300" s="1708">
        <f t="shared" si="254"/>
        <v>0</v>
      </c>
    </row>
    <row r="1301" spans="1:7" ht="17.100000000000001" hidden="1" customHeight="1">
      <c r="A1301" s="848"/>
      <c r="B1301" s="2806"/>
      <c r="C1301" s="1753" t="s">
        <v>856</v>
      </c>
      <c r="D1301" s="1754" t="s">
        <v>857</v>
      </c>
      <c r="E1301" s="1707">
        <v>8738</v>
      </c>
      <c r="F1301" s="1707">
        <v>0</v>
      </c>
      <c r="G1301" s="1708">
        <f t="shared" si="254"/>
        <v>0</v>
      </c>
    </row>
    <row r="1302" spans="1:7" ht="17.100000000000001" hidden="1" customHeight="1">
      <c r="A1302" s="848"/>
      <c r="B1302" s="2806"/>
      <c r="C1302" s="1803"/>
      <c r="D1302" s="1804"/>
      <c r="E1302" s="1707"/>
      <c r="F1302" s="1707"/>
      <c r="G1302" s="1708"/>
    </row>
    <row r="1303" spans="1:7" ht="17.100000000000001" customHeight="1">
      <c r="A1303" s="848"/>
      <c r="B1303" s="2806"/>
      <c r="C1303" s="2889" t="s">
        <v>766</v>
      </c>
      <c r="D1303" s="2889"/>
      <c r="E1303" s="1707">
        <f t="shared" ref="E1303:F1303" si="262">E1304</f>
        <v>200000</v>
      </c>
      <c r="F1303" s="1707">
        <f t="shared" si="262"/>
        <v>200000</v>
      </c>
      <c r="G1303" s="1708">
        <f t="shared" si="254"/>
        <v>1</v>
      </c>
    </row>
    <row r="1304" spans="1:7" ht="17.100000000000001" customHeight="1" thickBot="1">
      <c r="A1304" s="848"/>
      <c r="B1304" s="2812"/>
      <c r="C1304" s="1805" t="s">
        <v>858</v>
      </c>
      <c r="D1304" s="1806" t="s">
        <v>859</v>
      </c>
      <c r="E1304" s="970">
        <v>200000</v>
      </c>
      <c r="F1304" s="970">
        <v>200000</v>
      </c>
      <c r="G1304" s="1683">
        <f t="shared" si="254"/>
        <v>1</v>
      </c>
    </row>
    <row r="1305" spans="1:7" ht="17.100000000000001" customHeight="1" thickBot="1">
      <c r="A1305" s="848"/>
      <c r="B1305" s="1072" t="s">
        <v>209</v>
      </c>
      <c r="C1305" s="1073"/>
      <c r="D1305" s="1074" t="s">
        <v>254</v>
      </c>
      <c r="E1305" s="1075">
        <f>E1306+E1315</f>
        <v>1650000</v>
      </c>
      <c r="F1305" s="1075">
        <f>F1306+F1315</f>
        <v>500000</v>
      </c>
      <c r="G1305" s="1076">
        <f t="shared" si="254"/>
        <v>0.30303030303030304</v>
      </c>
    </row>
    <row r="1306" spans="1:7" ht="17.100000000000001" customHeight="1">
      <c r="A1306" s="848"/>
      <c r="B1306" s="2806"/>
      <c r="C1306" s="2802" t="s">
        <v>521</v>
      </c>
      <c r="D1306" s="2802"/>
      <c r="E1306" s="854">
        <f>E1307+E1311</f>
        <v>150000</v>
      </c>
      <c r="F1306" s="854">
        <f t="shared" ref="F1306" si="263">F1307+F1311</f>
        <v>150000</v>
      </c>
      <c r="G1306" s="855">
        <f t="shared" si="254"/>
        <v>1</v>
      </c>
    </row>
    <row r="1307" spans="1:7" ht="17.100000000000001" customHeight="1">
      <c r="A1307" s="848"/>
      <c r="B1307" s="2806"/>
      <c r="C1307" s="2907" t="s">
        <v>522</v>
      </c>
      <c r="D1307" s="2907"/>
      <c r="E1307" s="1707">
        <f t="shared" ref="E1307:F1308" si="264">E1308</f>
        <v>0</v>
      </c>
      <c r="F1307" s="1707">
        <f t="shared" si="264"/>
        <v>150000</v>
      </c>
      <c r="G1307" s="1708"/>
    </row>
    <row r="1308" spans="1:7" ht="17.100000000000001" customHeight="1">
      <c r="A1308" s="848"/>
      <c r="B1308" s="2806"/>
      <c r="C1308" s="2908" t="s">
        <v>534</v>
      </c>
      <c r="D1308" s="2908"/>
      <c r="E1308" s="1709">
        <f t="shared" si="264"/>
        <v>0</v>
      </c>
      <c r="F1308" s="1709">
        <f t="shared" si="264"/>
        <v>150000</v>
      </c>
      <c r="G1308" s="1710"/>
    </row>
    <row r="1309" spans="1:7" ht="17.100000000000001" customHeight="1">
      <c r="A1309" s="848"/>
      <c r="B1309" s="2806"/>
      <c r="C1309" s="2199" t="s">
        <v>547</v>
      </c>
      <c r="D1309" s="1537" t="s">
        <v>548</v>
      </c>
      <c r="E1309" s="1765">
        <v>0</v>
      </c>
      <c r="F1309" s="1765">
        <v>150000</v>
      </c>
      <c r="G1309" s="1766"/>
    </row>
    <row r="1310" spans="1:7" ht="17.100000000000001" hidden="1" customHeight="1" thickBot="1">
      <c r="A1310" s="848"/>
      <c r="B1310" s="974"/>
      <c r="C1310" s="2912"/>
      <c r="D1310" s="2913"/>
      <c r="E1310" s="1765"/>
      <c r="F1310" s="1765"/>
      <c r="G1310" s="1766"/>
    </row>
    <row r="1311" spans="1:7" ht="17.100000000000001" hidden="1" customHeight="1">
      <c r="A1311" s="848"/>
      <c r="B1311" s="974"/>
      <c r="C1311" s="2914" t="s">
        <v>860</v>
      </c>
      <c r="D1311" s="2907"/>
      <c r="E1311" s="1807">
        <f>E1312+E1313</f>
        <v>150000</v>
      </c>
      <c r="F1311" s="1807">
        <f t="shared" ref="F1311" si="265">F1312+F1313</f>
        <v>0</v>
      </c>
      <c r="G1311" s="1808">
        <f t="shared" si="254"/>
        <v>0</v>
      </c>
    </row>
    <row r="1312" spans="1:7" ht="39" hidden="1" customHeight="1">
      <c r="A1312" s="848"/>
      <c r="B1312" s="974"/>
      <c r="C1312" s="1809" t="s">
        <v>861</v>
      </c>
      <c r="D1312" s="1810" t="s">
        <v>862</v>
      </c>
      <c r="E1312" s="1765">
        <v>3000</v>
      </c>
      <c r="F1312" s="1765">
        <v>0</v>
      </c>
      <c r="G1312" s="1766">
        <f t="shared" si="254"/>
        <v>0</v>
      </c>
    </row>
    <row r="1313" spans="1:7" ht="39" hidden="1" customHeight="1">
      <c r="A1313" s="848"/>
      <c r="B1313" s="974"/>
      <c r="C1313" s="1809" t="s">
        <v>863</v>
      </c>
      <c r="D1313" s="1810" t="s">
        <v>864</v>
      </c>
      <c r="E1313" s="1765">
        <v>147000</v>
      </c>
      <c r="F1313" s="1765">
        <v>0</v>
      </c>
      <c r="G1313" s="1766">
        <f t="shared" si="254"/>
        <v>0</v>
      </c>
    </row>
    <row r="1314" spans="1:7" ht="15.75" customHeight="1">
      <c r="A1314" s="848"/>
      <c r="B1314" s="974"/>
      <c r="C1314" s="1811"/>
      <c r="D1314" s="1810"/>
      <c r="E1314" s="1807"/>
      <c r="F1314" s="1807"/>
      <c r="G1314" s="1766"/>
    </row>
    <row r="1315" spans="1:7" ht="19.5" customHeight="1">
      <c r="A1315" s="848"/>
      <c r="B1315" s="974"/>
      <c r="C1315" s="2900" t="s">
        <v>574</v>
      </c>
      <c r="D1315" s="2902"/>
      <c r="E1315" s="1812">
        <f>E1316</f>
        <v>1500000</v>
      </c>
      <c r="F1315" s="1812">
        <f>F1316</f>
        <v>350000</v>
      </c>
      <c r="G1315" s="1766">
        <f t="shared" si="254"/>
        <v>0.23333333333333334</v>
      </c>
    </row>
    <row r="1316" spans="1:7" ht="18.75" customHeight="1">
      <c r="A1316" s="848"/>
      <c r="B1316" s="974"/>
      <c r="C1316" s="2889" t="s">
        <v>575</v>
      </c>
      <c r="D1316" s="2903"/>
      <c r="E1316" s="1807">
        <f>E1317+E1318</f>
        <v>1500000</v>
      </c>
      <c r="F1316" s="1807">
        <f>F1317+F1318</f>
        <v>350000</v>
      </c>
      <c r="G1316" s="1766">
        <f t="shared" si="254"/>
        <v>0.23333333333333334</v>
      </c>
    </row>
    <row r="1317" spans="1:7" ht="39" customHeight="1">
      <c r="A1317" s="848"/>
      <c r="B1317" s="974"/>
      <c r="C1317" s="1803" t="s">
        <v>865</v>
      </c>
      <c r="D1317" s="1813" t="s">
        <v>866</v>
      </c>
      <c r="E1317" s="1807">
        <v>1300000</v>
      </c>
      <c r="F1317" s="1807">
        <v>350000</v>
      </c>
      <c r="G1317" s="1766">
        <f t="shared" si="254"/>
        <v>0.26923076923076922</v>
      </c>
    </row>
    <row r="1318" spans="1:7" ht="0.75" customHeight="1" thickBot="1">
      <c r="A1318" s="848"/>
      <c r="B1318" s="974"/>
      <c r="C1318" s="1814" t="s">
        <v>775</v>
      </c>
      <c r="D1318" s="1815" t="s">
        <v>776</v>
      </c>
      <c r="E1318" s="970">
        <v>200000</v>
      </c>
      <c r="F1318" s="970">
        <v>0</v>
      </c>
      <c r="G1318" s="1766">
        <f t="shared" si="254"/>
        <v>0</v>
      </c>
    </row>
    <row r="1319" spans="1:7" ht="17.100000000000001" customHeight="1" thickBot="1">
      <c r="A1319" s="842" t="s">
        <v>68</v>
      </c>
      <c r="B1319" s="843"/>
      <c r="C1319" s="844"/>
      <c r="D1319" s="845" t="s">
        <v>867</v>
      </c>
      <c r="E1319" s="846">
        <f>E1320+E1334+E1338+E1346+E1350+E1358+E1370+E1374+E1382+E1387</f>
        <v>48823857</v>
      </c>
      <c r="F1319" s="846">
        <f>F1320+F1334+F1338+F1346+F1350+F1358+F1370+F1374+F1382+F1387</f>
        <v>43401090</v>
      </c>
      <c r="G1319" s="847">
        <f t="shared" si="254"/>
        <v>0.88893202353923007</v>
      </c>
    </row>
    <row r="1320" spans="1:7" ht="17.100000000000001" customHeight="1" thickBot="1">
      <c r="A1320" s="848"/>
      <c r="B1320" s="1072" t="s">
        <v>868</v>
      </c>
      <c r="C1320" s="1073"/>
      <c r="D1320" s="1074" t="s">
        <v>439</v>
      </c>
      <c r="E1320" s="1075">
        <f>E1321+E1330</f>
        <v>34808152</v>
      </c>
      <c r="F1320" s="1075">
        <f>F1321+F1330</f>
        <v>26873970</v>
      </c>
      <c r="G1320" s="1076">
        <f t="shared" si="254"/>
        <v>0.77205966004745097</v>
      </c>
    </row>
    <row r="1321" spans="1:7" ht="17.100000000000001" customHeight="1">
      <c r="A1321" s="848"/>
      <c r="B1321" s="2904"/>
      <c r="C1321" s="2905" t="s">
        <v>521</v>
      </c>
      <c r="D1321" s="2906"/>
      <c r="E1321" s="1802">
        <f>E1322+E1326</f>
        <v>571871</v>
      </c>
      <c r="F1321" s="1802">
        <f>F1322+F1326</f>
        <v>336000</v>
      </c>
      <c r="G1321" s="1549">
        <f t="shared" si="254"/>
        <v>0.58754509321158088</v>
      </c>
    </row>
    <row r="1322" spans="1:7" ht="17.100000000000001" hidden="1" customHeight="1">
      <c r="A1322" s="848"/>
      <c r="B1322" s="2904"/>
      <c r="C1322" s="2907" t="s">
        <v>522</v>
      </c>
      <c r="D1322" s="2907"/>
      <c r="E1322" s="962">
        <f>E1323</f>
        <v>426832</v>
      </c>
      <c r="F1322" s="962">
        <f>F1323</f>
        <v>0</v>
      </c>
      <c r="G1322" s="1191">
        <f t="shared" si="254"/>
        <v>0</v>
      </c>
    </row>
    <row r="1323" spans="1:7" ht="17.100000000000001" hidden="1" customHeight="1">
      <c r="A1323" s="848"/>
      <c r="B1323" s="2904"/>
      <c r="C1323" s="2908" t="s">
        <v>534</v>
      </c>
      <c r="D1323" s="2908"/>
      <c r="E1323" s="1807">
        <f>E1324</f>
        <v>426832</v>
      </c>
      <c r="F1323" s="1807">
        <f>F1324</f>
        <v>0</v>
      </c>
      <c r="G1323" s="1191">
        <f t="shared" si="254"/>
        <v>0</v>
      </c>
    </row>
    <row r="1324" spans="1:7" ht="27" hidden="1" customHeight="1">
      <c r="A1324" s="848"/>
      <c r="B1324" s="2904"/>
      <c r="C1324" s="1759" t="s">
        <v>869</v>
      </c>
      <c r="D1324" s="1816" t="s">
        <v>870</v>
      </c>
      <c r="E1324" s="1190">
        <v>426832</v>
      </c>
      <c r="F1324" s="1190">
        <v>0</v>
      </c>
      <c r="G1324" s="1191">
        <f t="shared" si="254"/>
        <v>0</v>
      </c>
    </row>
    <row r="1325" spans="1:7" ht="15.75" hidden="1" customHeight="1">
      <c r="A1325" s="848"/>
      <c r="B1325" s="2904"/>
      <c r="C1325" s="848"/>
      <c r="D1325" s="1376"/>
      <c r="E1325" s="962"/>
      <c r="F1325" s="962"/>
      <c r="G1325" s="963"/>
    </row>
    <row r="1326" spans="1:7" ht="17.100000000000001" customHeight="1">
      <c r="A1326" s="848"/>
      <c r="B1326" s="2904"/>
      <c r="C1326" s="2909" t="s">
        <v>860</v>
      </c>
      <c r="D1326" s="2910"/>
      <c r="E1326" s="1807">
        <f>E1327+E1328</f>
        <v>145039</v>
      </c>
      <c r="F1326" s="1807">
        <f t="shared" ref="F1326" si="266">F1327+F1328</f>
        <v>336000</v>
      </c>
      <c r="G1326" s="1808">
        <f t="shared" si="254"/>
        <v>2.316618288874027</v>
      </c>
    </row>
    <row r="1327" spans="1:7" ht="50.25" hidden="1" customHeight="1">
      <c r="A1327" s="848"/>
      <c r="B1327" s="2904"/>
      <c r="C1327" s="1817" t="s">
        <v>460</v>
      </c>
      <c r="D1327" s="1810" t="s">
        <v>589</v>
      </c>
      <c r="E1327" s="1807">
        <v>39</v>
      </c>
      <c r="F1327" s="1807">
        <v>0</v>
      </c>
      <c r="G1327" s="1808">
        <f t="shared" si="254"/>
        <v>0</v>
      </c>
    </row>
    <row r="1328" spans="1:7" ht="35.25" customHeight="1">
      <c r="A1328" s="848"/>
      <c r="B1328" s="2904"/>
      <c r="C1328" s="1809" t="s">
        <v>871</v>
      </c>
      <c r="D1328" s="1810" t="s">
        <v>872</v>
      </c>
      <c r="E1328" s="1807">
        <v>145000</v>
      </c>
      <c r="F1328" s="1807">
        <f>270000+66000</f>
        <v>336000</v>
      </c>
      <c r="G1328" s="1808">
        <f t="shared" si="254"/>
        <v>2.317241379310345</v>
      </c>
    </row>
    <row r="1329" spans="1:7" ht="17.100000000000001" customHeight="1">
      <c r="A1329" s="848"/>
      <c r="B1329" s="2904"/>
      <c r="C1329" s="1818"/>
      <c r="D1329" s="1818"/>
      <c r="E1329" s="1819"/>
      <c r="F1329" s="1819"/>
      <c r="G1329" s="1820"/>
    </row>
    <row r="1330" spans="1:7" ht="17.100000000000001" customHeight="1">
      <c r="A1330" s="848"/>
      <c r="B1330" s="2904"/>
      <c r="C1330" s="2911" t="s">
        <v>574</v>
      </c>
      <c r="D1330" s="2911"/>
      <c r="E1330" s="1821">
        <f>E1331</f>
        <v>34236281</v>
      </c>
      <c r="F1330" s="1821">
        <f t="shared" ref="F1330" si="267">F1331</f>
        <v>26537970</v>
      </c>
      <c r="G1330" s="1822">
        <f t="shared" si="254"/>
        <v>0.77514172757257138</v>
      </c>
    </row>
    <row r="1331" spans="1:7" ht="17.100000000000001" customHeight="1">
      <c r="A1331" s="848"/>
      <c r="B1331" s="2904"/>
      <c r="C1331" s="2889" t="s">
        <v>575</v>
      </c>
      <c r="D1331" s="2889"/>
      <c r="E1331" s="1807">
        <f>SUM(E1332:E1333)</f>
        <v>34236281</v>
      </c>
      <c r="F1331" s="1807">
        <f t="shared" ref="F1331" si="268">SUM(F1332:F1333)</f>
        <v>26537970</v>
      </c>
      <c r="G1331" s="1808">
        <f t="shared" si="254"/>
        <v>0.77514172757257138</v>
      </c>
    </row>
    <row r="1332" spans="1:7" ht="42" customHeight="1">
      <c r="A1332" s="848"/>
      <c r="B1332" s="1819"/>
      <c r="C1332" s="1823" t="s">
        <v>658</v>
      </c>
      <c r="D1332" s="1804" t="s">
        <v>662</v>
      </c>
      <c r="E1332" s="1807">
        <v>7005946</v>
      </c>
      <c r="F1332" s="1807">
        <v>4233022</v>
      </c>
      <c r="G1332" s="1808">
        <f t="shared" si="254"/>
        <v>0.60420420026074995</v>
      </c>
    </row>
    <row r="1333" spans="1:7" ht="41.25" customHeight="1" thickBot="1">
      <c r="A1333" s="848"/>
      <c r="B1333" s="1819"/>
      <c r="C1333" s="1753" t="s">
        <v>865</v>
      </c>
      <c r="D1333" s="1754" t="s">
        <v>866</v>
      </c>
      <c r="E1333" s="1807">
        <v>27230335</v>
      </c>
      <c r="F1333" s="1807">
        <v>22304948</v>
      </c>
      <c r="G1333" s="1808">
        <f t="shared" si="254"/>
        <v>0.81912132186401676</v>
      </c>
    </row>
    <row r="1334" spans="1:7" ht="15" customHeight="1" thickBot="1">
      <c r="A1334" s="848"/>
      <c r="B1334" s="1072" t="s">
        <v>873</v>
      </c>
      <c r="C1334" s="1073"/>
      <c r="D1334" s="1074" t="s">
        <v>874</v>
      </c>
      <c r="E1334" s="1075">
        <f>E1335</f>
        <v>7000000</v>
      </c>
      <c r="F1334" s="1075">
        <f t="shared" ref="F1334:F1336" si="269">F1335</f>
        <v>8225000</v>
      </c>
      <c r="G1334" s="1076">
        <f t="shared" si="254"/>
        <v>1.175</v>
      </c>
    </row>
    <row r="1335" spans="1:7" ht="18.75" customHeight="1">
      <c r="A1335" s="848"/>
      <c r="B1335" s="1819"/>
      <c r="C1335" s="2894" t="s">
        <v>574</v>
      </c>
      <c r="D1335" s="2895"/>
      <c r="E1335" s="1807">
        <f>E1336</f>
        <v>7000000</v>
      </c>
      <c r="F1335" s="1807">
        <f t="shared" si="269"/>
        <v>8225000</v>
      </c>
      <c r="G1335" s="1808">
        <f t="shared" si="254"/>
        <v>1.175</v>
      </c>
    </row>
    <row r="1336" spans="1:7" ht="15.75" customHeight="1">
      <c r="A1336" s="848"/>
      <c r="B1336" s="1819"/>
      <c r="C1336" s="2896" t="s">
        <v>778</v>
      </c>
      <c r="D1336" s="2897"/>
      <c r="E1336" s="1807">
        <f>E1337</f>
        <v>7000000</v>
      </c>
      <c r="F1336" s="1807">
        <f t="shared" si="269"/>
        <v>8225000</v>
      </c>
      <c r="G1336" s="1808">
        <f t="shared" si="254"/>
        <v>1.175</v>
      </c>
    </row>
    <row r="1337" spans="1:7" ht="23.25" customHeight="1" thickBot="1">
      <c r="A1337" s="848"/>
      <c r="B1337" s="1819"/>
      <c r="C1337" s="1824" t="s">
        <v>779</v>
      </c>
      <c r="D1337" s="1825" t="s">
        <v>875</v>
      </c>
      <c r="E1337" s="1807">
        <v>7000000</v>
      </c>
      <c r="F1337" s="1807">
        <v>8225000</v>
      </c>
      <c r="G1337" s="1808">
        <f t="shared" si="254"/>
        <v>1.175</v>
      </c>
    </row>
    <row r="1338" spans="1:7" ht="15" customHeight="1" thickBot="1">
      <c r="A1338" s="848"/>
      <c r="B1338" s="1826" t="s">
        <v>876</v>
      </c>
      <c r="C1338" s="1827"/>
      <c r="D1338" s="1828" t="s">
        <v>444</v>
      </c>
      <c r="E1338" s="1829">
        <f t="shared" ref="E1338:F1338" si="270">E1343+E1339</f>
        <v>1566796</v>
      </c>
      <c r="F1338" s="1829">
        <f t="shared" si="270"/>
        <v>2129340</v>
      </c>
      <c r="G1338" s="1830">
        <f t="shared" si="254"/>
        <v>1.3590409983175857</v>
      </c>
    </row>
    <row r="1339" spans="1:7" ht="15">
      <c r="A1339" s="848"/>
      <c r="B1339" s="2806"/>
      <c r="C1339" s="2890" t="s">
        <v>521</v>
      </c>
      <c r="D1339" s="2891"/>
      <c r="E1339" s="1346">
        <f t="shared" ref="E1339:F1340" si="271">E1340</f>
        <v>35000</v>
      </c>
      <c r="F1339" s="1346">
        <f t="shared" si="271"/>
        <v>30000</v>
      </c>
      <c r="G1339" s="1347">
        <f t="shared" si="254"/>
        <v>0.8571428571428571</v>
      </c>
    </row>
    <row r="1340" spans="1:7" ht="15">
      <c r="A1340" s="848"/>
      <c r="B1340" s="2806"/>
      <c r="C1340" s="2898" t="s">
        <v>860</v>
      </c>
      <c r="D1340" s="2899"/>
      <c r="E1340" s="1831">
        <f t="shared" si="271"/>
        <v>35000</v>
      </c>
      <c r="F1340" s="1831">
        <f t="shared" si="271"/>
        <v>30000</v>
      </c>
      <c r="G1340" s="1832">
        <f t="shared" si="254"/>
        <v>0.8571428571428571</v>
      </c>
    </row>
    <row r="1341" spans="1:7" ht="40.5" customHeight="1">
      <c r="A1341" s="848"/>
      <c r="B1341" s="2806"/>
      <c r="C1341" s="1833" t="s">
        <v>871</v>
      </c>
      <c r="D1341" s="1834" t="s">
        <v>872</v>
      </c>
      <c r="E1341" s="1831">
        <v>35000</v>
      </c>
      <c r="F1341" s="1831">
        <v>30000</v>
      </c>
      <c r="G1341" s="1832">
        <f t="shared" si="254"/>
        <v>0.8571428571428571</v>
      </c>
    </row>
    <row r="1342" spans="1:7" ht="15">
      <c r="A1342" s="848"/>
      <c r="B1342" s="2806"/>
      <c r="C1342" s="1835"/>
      <c r="D1342" s="1048"/>
      <c r="E1342" s="1049"/>
      <c r="F1342" s="1049"/>
      <c r="G1342" s="1050"/>
    </row>
    <row r="1343" spans="1:7" ht="12.75" customHeight="1">
      <c r="A1343" s="848"/>
      <c r="B1343" s="2806"/>
      <c r="C1343" s="2900" t="s">
        <v>574</v>
      </c>
      <c r="D1343" s="2900"/>
      <c r="E1343" s="1821">
        <f t="shared" ref="E1343:F1344" si="272">E1344</f>
        <v>1531796</v>
      </c>
      <c r="F1343" s="1821">
        <f t="shared" si="272"/>
        <v>2099340</v>
      </c>
      <c r="G1343" s="1822">
        <f t="shared" si="254"/>
        <v>1.3705088667159335</v>
      </c>
    </row>
    <row r="1344" spans="1:7" ht="12.75" customHeight="1">
      <c r="A1344" s="848"/>
      <c r="B1344" s="2806"/>
      <c r="C1344" s="2901" t="s">
        <v>575</v>
      </c>
      <c r="D1344" s="2901"/>
      <c r="E1344" s="1765">
        <f t="shared" si="272"/>
        <v>1531796</v>
      </c>
      <c r="F1344" s="1765">
        <f t="shared" si="272"/>
        <v>2099340</v>
      </c>
      <c r="G1344" s="1766">
        <f t="shared" si="254"/>
        <v>1.3705088667159335</v>
      </c>
    </row>
    <row r="1345" spans="1:7" ht="39" thickBot="1">
      <c r="A1345" s="848"/>
      <c r="B1345" s="2806"/>
      <c r="C1345" s="1400" t="s">
        <v>865</v>
      </c>
      <c r="D1345" s="1370" t="s">
        <v>866</v>
      </c>
      <c r="E1345" s="970">
        <v>1531796</v>
      </c>
      <c r="F1345" s="970">
        <v>2099340</v>
      </c>
      <c r="G1345" s="1836">
        <f t="shared" si="254"/>
        <v>1.3705088667159335</v>
      </c>
    </row>
    <row r="1346" spans="1:7" ht="17.100000000000001" customHeight="1" thickBot="1">
      <c r="A1346" s="848"/>
      <c r="B1346" s="1569" t="s">
        <v>877</v>
      </c>
      <c r="C1346" s="1073"/>
      <c r="D1346" s="1074" t="s">
        <v>878</v>
      </c>
      <c r="E1346" s="1075">
        <f t="shared" ref="E1346:F1347" si="273">SUM(E1347)</f>
        <v>800000</v>
      </c>
      <c r="F1346" s="1075">
        <f t="shared" si="273"/>
        <v>312880</v>
      </c>
      <c r="G1346" s="1076">
        <f t="shared" si="254"/>
        <v>0.3911</v>
      </c>
    </row>
    <row r="1347" spans="1:7">
      <c r="A1347" s="848"/>
      <c r="B1347" s="2806"/>
      <c r="C1347" s="2867" t="s">
        <v>574</v>
      </c>
      <c r="D1347" s="2867"/>
      <c r="E1347" s="1190">
        <f t="shared" si="273"/>
        <v>800000</v>
      </c>
      <c r="F1347" s="1190">
        <f t="shared" si="273"/>
        <v>312880</v>
      </c>
      <c r="G1347" s="1191">
        <f t="shared" si="254"/>
        <v>0.3911</v>
      </c>
    </row>
    <row r="1348" spans="1:7">
      <c r="A1348" s="848"/>
      <c r="B1348" s="2806"/>
      <c r="C1348" s="2889" t="s">
        <v>575</v>
      </c>
      <c r="D1348" s="2889"/>
      <c r="E1348" s="1807">
        <f t="shared" ref="E1348:F1348" si="274">E1349</f>
        <v>800000</v>
      </c>
      <c r="F1348" s="1807">
        <f t="shared" si="274"/>
        <v>312880</v>
      </c>
      <c r="G1348" s="1808">
        <f t="shared" si="254"/>
        <v>0.3911</v>
      </c>
    </row>
    <row r="1349" spans="1:7" ht="39" thickBot="1">
      <c r="A1349" s="848"/>
      <c r="B1349" s="2806"/>
      <c r="C1349" s="1536" t="s">
        <v>865</v>
      </c>
      <c r="D1349" s="1537" t="s">
        <v>866</v>
      </c>
      <c r="E1349" s="1837">
        <v>800000</v>
      </c>
      <c r="F1349" s="1837">
        <v>312880</v>
      </c>
      <c r="G1349" s="1838">
        <f t="shared" si="254"/>
        <v>0.3911</v>
      </c>
    </row>
    <row r="1350" spans="1:7" ht="18.75" customHeight="1" thickBot="1">
      <c r="A1350" s="848"/>
      <c r="B1350" s="1072" t="s">
        <v>879</v>
      </c>
      <c r="C1350" s="1073"/>
      <c r="D1350" s="1074" t="s">
        <v>442</v>
      </c>
      <c r="E1350" s="1075">
        <f>E1351+E1355</f>
        <v>1811770</v>
      </c>
      <c r="F1350" s="1075">
        <f t="shared" ref="F1350" si="275">F1351+F1355</f>
        <v>2550000</v>
      </c>
      <c r="G1350" s="1076">
        <f t="shared" si="254"/>
        <v>1.4074634197497475</v>
      </c>
    </row>
    <row r="1351" spans="1:7" ht="15" hidden="1">
      <c r="A1351" s="848"/>
      <c r="B1351" s="1272"/>
      <c r="C1351" s="2890" t="s">
        <v>521</v>
      </c>
      <c r="D1351" s="2891"/>
      <c r="E1351" s="1346">
        <f>E1352</f>
        <v>200000</v>
      </c>
      <c r="F1351" s="1346">
        <f t="shared" ref="F1351:F1352" si="276">F1352</f>
        <v>0</v>
      </c>
      <c r="G1351" s="1347">
        <f t="shared" si="254"/>
        <v>0</v>
      </c>
    </row>
    <row r="1352" spans="1:7" ht="15" hidden="1">
      <c r="A1352" s="848"/>
      <c r="B1352" s="1272"/>
      <c r="C1352" s="2892" t="s">
        <v>860</v>
      </c>
      <c r="D1352" s="2893"/>
      <c r="E1352" s="1831">
        <f>E1353</f>
        <v>200000</v>
      </c>
      <c r="F1352" s="1831">
        <f t="shared" si="276"/>
        <v>0</v>
      </c>
      <c r="G1352" s="1832">
        <f t="shared" si="254"/>
        <v>0</v>
      </c>
    </row>
    <row r="1353" spans="1:7" ht="28.5" hidden="1" customHeight="1">
      <c r="A1353" s="848"/>
      <c r="B1353" s="1272"/>
      <c r="C1353" s="1839" t="s">
        <v>871</v>
      </c>
      <c r="D1353" s="1840" t="s">
        <v>872</v>
      </c>
      <c r="E1353" s="1831">
        <v>200000</v>
      </c>
      <c r="F1353" s="1831">
        <v>0</v>
      </c>
      <c r="G1353" s="1832">
        <f t="shared" si="254"/>
        <v>0</v>
      </c>
    </row>
    <row r="1354" spans="1:7" ht="15" hidden="1">
      <c r="A1354" s="848"/>
      <c r="B1354" s="1272"/>
      <c r="C1354" s="2890"/>
      <c r="D1354" s="2891"/>
      <c r="E1354" s="1346"/>
      <c r="F1354" s="1346"/>
      <c r="G1354" s="1347"/>
    </row>
    <row r="1355" spans="1:7" ht="17.25" customHeight="1">
      <c r="A1355" s="848"/>
      <c r="B1355" s="2887"/>
      <c r="C1355" s="2804" t="s">
        <v>574</v>
      </c>
      <c r="D1355" s="2804"/>
      <c r="E1355" s="854">
        <f t="shared" ref="E1355:F1356" si="277">E1356</f>
        <v>1611770</v>
      </c>
      <c r="F1355" s="854">
        <f t="shared" si="277"/>
        <v>2550000</v>
      </c>
      <c r="G1355" s="855">
        <f t="shared" si="254"/>
        <v>1.5821115916042612</v>
      </c>
    </row>
    <row r="1356" spans="1:7" ht="16.5" customHeight="1">
      <c r="A1356" s="848"/>
      <c r="B1356" s="2887"/>
      <c r="C1356" s="2888" t="s">
        <v>694</v>
      </c>
      <c r="D1356" s="2888"/>
      <c r="E1356" s="1807">
        <f t="shared" si="277"/>
        <v>1611770</v>
      </c>
      <c r="F1356" s="1807">
        <f t="shared" si="277"/>
        <v>2550000</v>
      </c>
      <c r="G1356" s="1808">
        <f t="shared" si="254"/>
        <v>1.5821115916042612</v>
      </c>
    </row>
    <row r="1357" spans="1:7" ht="39" thickBot="1">
      <c r="A1357" s="848"/>
      <c r="B1357" s="2887"/>
      <c r="C1357" s="1841" t="s">
        <v>865</v>
      </c>
      <c r="D1357" s="1842" t="s">
        <v>866</v>
      </c>
      <c r="E1357" s="1843">
        <v>1611770</v>
      </c>
      <c r="F1357" s="1843">
        <v>2550000</v>
      </c>
      <c r="G1357" s="1844">
        <f t="shared" si="254"/>
        <v>1.5821115916042612</v>
      </c>
    </row>
    <row r="1358" spans="1:7" ht="17.100000000000001" customHeight="1" thickBot="1">
      <c r="A1358" s="848"/>
      <c r="B1358" s="1072" t="s">
        <v>880</v>
      </c>
      <c r="C1358" s="1073"/>
      <c r="D1358" s="1074" t="s">
        <v>881</v>
      </c>
      <c r="E1358" s="1075">
        <f>E1359+E1367</f>
        <v>2297550</v>
      </c>
      <c r="F1358" s="1075">
        <f>F1359+F1367</f>
        <v>2639450</v>
      </c>
      <c r="G1358" s="1076">
        <f t="shared" si="254"/>
        <v>1.1488106896476682</v>
      </c>
    </row>
    <row r="1359" spans="1:7" ht="17.100000000000001" customHeight="1">
      <c r="A1359" s="848"/>
      <c r="B1359" s="860"/>
      <c r="C1359" s="2802" t="s">
        <v>521</v>
      </c>
      <c r="D1359" s="2802"/>
      <c r="E1359" s="854">
        <f t="shared" ref="E1359:F1359" si="278">E1360+E1364</f>
        <v>2297550</v>
      </c>
      <c r="F1359" s="854">
        <f t="shared" si="278"/>
        <v>2351450</v>
      </c>
      <c r="G1359" s="855">
        <f t="shared" ref="G1359:G1426" si="279">F1359/E1359</f>
        <v>1.0234597723662162</v>
      </c>
    </row>
    <row r="1360" spans="1:7" ht="17.100000000000001" customHeight="1">
      <c r="A1360" s="848"/>
      <c r="B1360" s="860"/>
      <c r="C1360" s="2881" t="s">
        <v>522</v>
      </c>
      <c r="D1360" s="2881"/>
      <c r="E1360" s="1807">
        <f t="shared" ref="E1360:F1361" si="280">E1361</f>
        <v>1195000</v>
      </c>
      <c r="F1360" s="1807">
        <f t="shared" si="280"/>
        <v>1218900</v>
      </c>
      <c r="G1360" s="1808">
        <f t="shared" si="279"/>
        <v>1.02</v>
      </c>
    </row>
    <row r="1361" spans="1:7" ht="17.100000000000001" customHeight="1">
      <c r="A1361" s="848"/>
      <c r="B1361" s="2830"/>
      <c r="C1361" s="2882" t="s">
        <v>534</v>
      </c>
      <c r="D1361" s="2882"/>
      <c r="E1361" s="1845">
        <f t="shared" si="280"/>
        <v>1195000</v>
      </c>
      <c r="F1361" s="1845">
        <f t="shared" si="280"/>
        <v>1218900</v>
      </c>
      <c r="G1361" s="1846">
        <f t="shared" si="279"/>
        <v>1.02</v>
      </c>
    </row>
    <row r="1362" spans="1:7" ht="17.100000000000001" customHeight="1">
      <c r="A1362" s="848"/>
      <c r="B1362" s="2830"/>
      <c r="C1362" s="1847" t="s">
        <v>545</v>
      </c>
      <c r="D1362" s="1848" t="s">
        <v>546</v>
      </c>
      <c r="E1362" s="1807">
        <v>1195000</v>
      </c>
      <c r="F1362" s="1807">
        <v>1218900</v>
      </c>
      <c r="G1362" s="1808">
        <f t="shared" si="279"/>
        <v>1.02</v>
      </c>
    </row>
    <row r="1363" spans="1:7" ht="17.100000000000001" customHeight="1">
      <c r="A1363" s="848"/>
      <c r="B1363" s="2830"/>
      <c r="C1363" s="999"/>
      <c r="D1363" s="999"/>
      <c r="E1363" s="882"/>
      <c r="F1363" s="882"/>
      <c r="G1363" s="883"/>
    </row>
    <row r="1364" spans="1:7" ht="17.100000000000001" customHeight="1">
      <c r="A1364" s="848"/>
      <c r="B1364" s="2830"/>
      <c r="C1364" s="2877" t="s">
        <v>618</v>
      </c>
      <c r="D1364" s="2877"/>
      <c r="E1364" s="1807">
        <f t="shared" ref="E1364:F1364" si="281">E1365</f>
        <v>1102550</v>
      </c>
      <c r="F1364" s="1807">
        <f t="shared" si="281"/>
        <v>1132550</v>
      </c>
      <c r="G1364" s="1808">
        <f t="shared" si="279"/>
        <v>1.0272096503559929</v>
      </c>
    </row>
    <row r="1365" spans="1:7" ht="36" customHeight="1">
      <c r="A1365" s="848"/>
      <c r="B1365" s="2830"/>
      <c r="C1365" s="1847" t="s">
        <v>871</v>
      </c>
      <c r="D1365" s="1848" t="s">
        <v>872</v>
      </c>
      <c r="E1365" s="1807">
        <v>1102550</v>
      </c>
      <c r="F1365" s="1807">
        <v>1132550</v>
      </c>
      <c r="G1365" s="1808">
        <f t="shared" si="279"/>
        <v>1.0272096503559929</v>
      </c>
    </row>
    <row r="1366" spans="1:7" ht="15" customHeight="1">
      <c r="A1366" s="848"/>
      <c r="B1366" s="860"/>
      <c r="C1366" s="1410"/>
      <c r="D1366" s="1741"/>
      <c r="E1366" s="1190"/>
      <c r="F1366" s="1190"/>
      <c r="G1366" s="1808"/>
    </row>
    <row r="1367" spans="1:7" ht="17.25" customHeight="1">
      <c r="A1367" s="848"/>
      <c r="B1367" s="860"/>
      <c r="C1367" s="2804" t="s">
        <v>574</v>
      </c>
      <c r="D1367" s="2804"/>
      <c r="E1367" s="854">
        <f>E1368</f>
        <v>0</v>
      </c>
      <c r="F1367" s="854">
        <f>F1368</f>
        <v>288000</v>
      </c>
      <c r="G1367" s="1808"/>
    </row>
    <row r="1368" spans="1:7" ht="18" customHeight="1">
      <c r="A1368" s="848"/>
      <c r="B1368" s="860"/>
      <c r="C1368" s="2877" t="s">
        <v>694</v>
      </c>
      <c r="D1368" s="2877"/>
      <c r="E1368" s="1807">
        <f>E1369</f>
        <v>0</v>
      </c>
      <c r="F1368" s="1807">
        <f>F1369</f>
        <v>288000</v>
      </c>
      <c r="G1368" s="1808"/>
    </row>
    <row r="1369" spans="1:7" ht="37.5" customHeight="1" thickBot="1">
      <c r="A1369" s="848"/>
      <c r="B1369" s="860"/>
      <c r="C1369" s="1849" t="s">
        <v>865</v>
      </c>
      <c r="D1369" s="1850" t="s">
        <v>866</v>
      </c>
      <c r="E1369" s="1851">
        <v>0</v>
      </c>
      <c r="F1369" s="1851">
        <v>288000</v>
      </c>
      <c r="G1369" s="1808"/>
    </row>
    <row r="1370" spans="1:7" ht="17.100000000000001" customHeight="1" thickBot="1">
      <c r="A1370" s="848"/>
      <c r="B1370" s="1072" t="s">
        <v>69</v>
      </c>
      <c r="C1370" s="1073"/>
      <c r="D1370" s="1074" t="s">
        <v>882</v>
      </c>
      <c r="E1370" s="1075">
        <f t="shared" ref="E1370:F1371" si="282">E1371</f>
        <v>100000</v>
      </c>
      <c r="F1370" s="1075">
        <f t="shared" si="282"/>
        <v>150000</v>
      </c>
      <c r="G1370" s="1076">
        <f t="shared" si="279"/>
        <v>1.5</v>
      </c>
    </row>
    <row r="1371" spans="1:7" ht="17.100000000000001" customHeight="1">
      <c r="A1371" s="848"/>
      <c r="B1371" s="2806"/>
      <c r="C1371" s="2804" t="s">
        <v>521</v>
      </c>
      <c r="D1371" s="2804"/>
      <c r="E1371" s="854">
        <f t="shared" si="282"/>
        <v>100000</v>
      </c>
      <c r="F1371" s="854">
        <f t="shared" si="282"/>
        <v>150000</v>
      </c>
      <c r="G1371" s="855">
        <f t="shared" si="279"/>
        <v>1.5</v>
      </c>
    </row>
    <row r="1372" spans="1:7" ht="17.100000000000001" customHeight="1">
      <c r="A1372" s="848"/>
      <c r="B1372" s="2806"/>
      <c r="C1372" s="2877" t="s">
        <v>618</v>
      </c>
      <c r="D1372" s="2877"/>
      <c r="E1372" s="1807">
        <f>SUM(E1373:E1373)</f>
        <v>100000</v>
      </c>
      <c r="F1372" s="1807">
        <f t="shared" ref="F1372" si="283">SUM(F1373:F1373)</f>
        <v>150000</v>
      </c>
      <c r="G1372" s="1808">
        <f t="shared" si="279"/>
        <v>1.5</v>
      </c>
    </row>
    <row r="1373" spans="1:7" ht="50.25" customHeight="1" thickBot="1">
      <c r="A1373" s="848"/>
      <c r="B1373" s="2806"/>
      <c r="C1373" s="1849" t="s">
        <v>633</v>
      </c>
      <c r="D1373" s="1850" t="s">
        <v>634</v>
      </c>
      <c r="E1373" s="1851">
        <v>100000</v>
      </c>
      <c r="F1373" s="1851">
        <v>150000</v>
      </c>
      <c r="G1373" s="1852">
        <f t="shared" si="279"/>
        <v>1.5</v>
      </c>
    </row>
    <row r="1374" spans="1:7" ht="17.100000000000001" customHeight="1" thickBot="1">
      <c r="A1374" s="848"/>
      <c r="B1374" s="1072" t="s">
        <v>70</v>
      </c>
      <c r="C1374" s="1073"/>
      <c r="D1374" s="1074" t="s">
        <v>883</v>
      </c>
      <c r="E1374" s="1075">
        <f t="shared" ref="E1374:F1374" si="284">SUM(E1375)</f>
        <v>346289</v>
      </c>
      <c r="F1374" s="1075">
        <f t="shared" si="284"/>
        <v>457800</v>
      </c>
      <c r="G1374" s="1076">
        <f t="shared" si="279"/>
        <v>1.3220171590781111</v>
      </c>
    </row>
    <row r="1375" spans="1:7" ht="17.100000000000001" customHeight="1">
      <c r="A1375" s="848"/>
      <c r="B1375" s="860"/>
      <c r="C1375" s="2802" t="s">
        <v>521</v>
      </c>
      <c r="D1375" s="2802"/>
      <c r="E1375" s="854">
        <f>E1376+E1380</f>
        <v>346289</v>
      </c>
      <c r="F1375" s="854">
        <f t="shared" ref="F1375" si="285">F1376+F1380</f>
        <v>457800</v>
      </c>
      <c r="G1375" s="855">
        <f t="shared" si="279"/>
        <v>1.3220171590781111</v>
      </c>
    </row>
    <row r="1376" spans="1:7" ht="17.100000000000001" customHeight="1">
      <c r="A1376" s="848"/>
      <c r="B1376" s="860"/>
      <c r="C1376" s="2881" t="s">
        <v>522</v>
      </c>
      <c r="D1376" s="2881"/>
      <c r="E1376" s="1807">
        <f t="shared" ref="E1376:F1376" si="286">E1377</f>
        <v>20000</v>
      </c>
      <c r="F1376" s="1807">
        <f t="shared" si="286"/>
        <v>30000</v>
      </c>
      <c r="G1376" s="1808">
        <f t="shared" si="279"/>
        <v>1.5</v>
      </c>
    </row>
    <row r="1377" spans="1:7" ht="17.100000000000001" customHeight="1">
      <c r="A1377" s="848"/>
      <c r="B1377" s="860"/>
      <c r="C1377" s="2882" t="s">
        <v>534</v>
      </c>
      <c r="D1377" s="2882"/>
      <c r="E1377" s="1807">
        <f>SUM(E1378:E1378)</f>
        <v>20000</v>
      </c>
      <c r="F1377" s="1807">
        <f t="shared" ref="F1377" si="287">SUM(F1378:F1378)</f>
        <v>30000</v>
      </c>
      <c r="G1377" s="1808">
        <f t="shared" si="279"/>
        <v>1.5</v>
      </c>
    </row>
    <row r="1378" spans="1:7" ht="17.100000000000001" customHeight="1">
      <c r="A1378" s="848"/>
      <c r="B1378" s="860"/>
      <c r="C1378" s="1853" t="s">
        <v>628</v>
      </c>
      <c r="D1378" s="1848" t="s">
        <v>602</v>
      </c>
      <c r="E1378" s="1807">
        <v>20000</v>
      </c>
      <c r="F1378" s="1807">
        <v>30000</v>
      </c>
      <c r="G1378" s="1808">
        <f t="shared" si="279"/>
        <v>1.5</v>
      </c>
    </row>
    <row r="1379" spans="1:7" ht="17.100000000000001" customHeight="1">
      <c r="A1379" s="848"/>
      <c r="B1379" s="860"/>
      <c r="C1379" s="1854"/>
      <c r="D1379" s="999"/>
      <c r="E1379" s="882"/>
      <c r="F1379" s="882"/>
      <c r="G1379" s="883"/>
    </row>
    <row r="1380" spans="1:7" ht="17.100000000000001" customHeight="1">
      <c r="A1380" s="848"/>
      <c r="B1380" s="860"/>
      <c r="C1380" s="2883" t="s">
        <v>618</v>
      </c>
      <c r="D1380" s="2884"/>
      <c r="E1380" s="1855">
        <f t="shared" ref="E1380:F1380" si="288">SUM(E1381:E1381)</f>
        <v>326289</v>
      </c>
      <c r="F1380" s="1855">
        <f t="shared" si="288"/>
        <v>427800</v>
      </c>
      <c r="G1380" s="1856">
        <f t="shared" si="279"/>
        <v>1.3111076377076762</v>
      </c>
    </row>
    <row r="1381" spans="1:7" ht="51" customHeight="1" thickBot="1">
      <c r="A1381" s="848"/>
      <c r="B1381" s="860"/>
      <c r="C1381" s="1849" t="s">
        <v>633</v>
      </c>
      <c r="D1381" s="1850" t="s">
        <v>634</v>
      </c>
      <c r="E1381" s="1851">
        <v>326289</v>
      </c>
      <c r="F1381" s="1851">
        <v>427800</v>
      </c>
      <c r="G1381" s="1852">
        <f t="shared" si="279"/>
        <v>1.3111076377076762</v>
      </c>
    </row>
    <row r="1382" spans="1:7" ht="27.75" customHeight="1" thickBot="1">
      <c r="A1382" s="848"/>
      <c r="B1382" s="1072" t="s">
        <v>884</v>
      </c>
      <c r="C1382" s="1073"/>
      <c r="D1382" s="1074" t="s">
        <v>445</v>
      </c>
      <c r="E1382" s="1075">
        <f t="shared" ref="E1382:F1385" si="289">E1383</f>
        <v>27000</v>
      </c>
      <c r="F1382" s="1075">
        <f t="shared" si="289"/>
        <v>25000</v>
      </c>
      <c r="G1382" s="1076">
        <f t="shared" si="279"/>
        <v>0.92592592592592593</v>
      </c>
    </row>
    <row r="1383" spans="1:7" ht="17.100000000000001" customHeight="1">
      <c r="A1383" s="848"/>
      <c r="B1383" s="2806"/>
      <c r="C1383" s="2802" t="s">
        <v>521</v>
      </c>
      <c r="D1383" s="2802"/>
      <c r="E1383" s="854">
        <f t="shared" si="289"/>
        <v>27000</v>
      </c>
      <c r="F1383" s="854">
        <f t="shared" si="289"/>
        <v>25000</v>
      </c>
      <c r="G1383" s="855">
        <f t="shared" si="279"/>
        <v>0.92592592592592593</v>
      </c>
    </row>
    <row r="1384" spans="1:7" ht="17.100000000000001" customHeight="1">
      <c r="A1384" s="848"/>
      <c r="B1384" s="2806"/>
      <c r="C1384" s="2885" t="s">
        <v>522</v>
      </c>
      <c r="D1384" s="2885"/>
      <c r="E1384" s="1807">
        <f t="shared" si="289"/>
        <v>27000</v>
      </c>
      <c r="F1384" s="1807">
        <f t="shared" si="289"/>
        <v>25000</v>
      </c>
      <c r="G1384" s="1808">
        <f t="shared" si="279"/>
        <v>0.92592592592592593</v>
      </c>
    </row>
    <row r="1385" spans="1:7" ht="17.100000000000001" customHeight="1">
      <c r="A1385" s="848"/>
      <c r="B1385" s="2806"/>
      <c r="C1385" s="2886" t="s">
        <v>534</v>
      </c>
      <c r="D1385" s="2886"/>
      <c r="E1385" s="1807">
        <f t="shared" si="289"/>
        <v>27000</v>
      </c>
      <c r="F1385" s="1807">
        <f t="shared" si="289"/>
        <v>25000</v>
      </c>
      <c r="G1385" s="1808">
        <f t="shared" si="279"/>
        <v>0.92592592592592593</v>
      </c>
    </row>
    <row r="1386" spans="1:7" ht="17.100000000000001" customHeight="1" thickBot="1">
      <c r="A1386" s="848"/>
      <c r="B1386" s="2806"/>
      <c r="C1386" s="1857" t="s">
        <v>885</v>
      </c>
      <c r="D1386" s="1858" t="s">
        <v>886</v>
      </c>
      <c r="E1386" s="1859">
        <v>27000</v>
      </c>
      <c r="F1386" s="1859">
        <v>25000</v>
      </c>
      <c r="G1386" s="1860">
        <f t="shared" si="279"/>
        <v>0.92592592592592593</v>
      </c>
    </row>
    <row r="1387" spans="1:7" ht="17.100000000000001" customHeight="1" thickBot="1">
      <c r="A1387" s="848"/>
      <c r="B1387" s="1072" t="s">
        <v>887</v>
      </c>
      <c r="C1387" s="1073"/>
      <c r="D1387" s="1074" t="s">
        <v>254</v>
      </c>
      <c r="E1387" s="1075">
        <f>SUM(E1388)</f>
        <v>66300</v>
      </c>
      <c r="F1387" s="1075">
        <f t="shared" ref="F1387" si="290">SUM(F1388)</f>
        <v>37650</v>
      </c>
      <c r="G1387" s="1076">
        <f t="shared" si="279"/>
        <v>0.5678733031674208</v>
      </c>
    </row>
    <row r="1388" spans="1:7" ht="17.100000000000001" customHeight="1">
      <c r="A1388" s="848"/>
      <c r="B1388" s="974"/>
      <c r="C1388" s="2802" t="s">
        <v>521</v>
      </c>
      <c r="D1388" s="2802"/>
      <c r="E1388" s="854">
        <f>E1389</f>
        <v>66300</v>
      </c>
      <c r="F1388" s="854">
        <f t="shared" ref="F1388" si="291">F1389</f>
        <v>37650</v>
      </c>
      <c r="G1388" s="855">
        <f t="shared" si="279"/>
        <v>0.5678733031674208</v>
      </c>
    </row>
    <row r="1389" spans="1:7" ht="17.100000000000001" customHeight="1">
      <c r="A1389" s="848"/>
      <c r="B1389" s="860"/>
      <c r="C1389" s="2879" t="s">
        <v>522</v>
      </c>
      <c r="D1389" s="2879"/>
      <c r="E1389" s="1861">
        <f t="shared" ref="E1389:F1389" si="292">E1390+E1393</f>
        <v>66300</v>
      </c>
      <c r="F1389" s="1861">
        <f t="shared" si="292"/>
        <v>37650</v>
      </c>
      <c r="G1389" s="1862">
        <f t="shared" si="279"/>
        <v>0.5678733031674208</v>
      </c>
    </row>
    <row r="1390" spans="1:7" ht="17.100000000000001" customHeight="1">
      <c r="A1390" s="848"/>
      <c r="B1390" s="860"/>
      <c r="C1390" s="2878" t="s">
        <v>523</v>
      </c>
      <c r="D1390" s="2878"/>
      <c r="E1390" s="1863">
        <f t="shared" ref="E1390:F1390" si="293">SUM(E1391:E1391)</f>
        <v>56300</v>
      </c>
      <c r="F1390" s="1863">
        <f t="shared" si="293"/>
        <v>34850</v>
      </c>
      <c r="G1390" s="1864">
        <f t="shared" si="279"/>
        <v>0.6190053285968028</v>
      </c>
    </row>
    <row r="1391" spans="1:7" ht="17.100000000000001" customHeight="1">
      <c r="A1391" s="848"/>
      <c r="B1391" s="860"/>
      <c r="C1391" s="1865" t="s">
        <v>532</v>
      </c>
      <c r="D1391" s="1866" t="s">
        <v>533</v>
      </c>
      <c r="E1391" s="1867">
        <v>56300</v>
      </c>
      <c r="F1391" s="1867">
        <v>34850</v>
      </c>
      <c r="G1391" s="1868">
        <f t="shared" si="279"/>
        <v>0.6190053285968028</v>
      </c>
    </row>
    <row r="1392" spans="1:7" ht="17.100000000000001" customHeight="1">
      <c r="A1392" s="848"/>
      <c r="B1392" s="860"/>
      <c r="C1392" s="999"/>
      <c r="D1392" s="999"/>
      <c r="E1392" s="882"/>
      <c r="F1392" s="882"/>
      <c r="G1392" s="883"/>
    </row>
    <row r="1393" spans="1:7" ht="17.100000000000001" customHeight="1">
      <c r="A1393" s="848"/>
      <c r="B1393" s="860"/>
      <c r="C1393" s="2880" t="s">
        <v>534</v>
      </c>
      <c r="D1393" s="2880"/>
      <c r="E1393" s="1869">
        <f>SUM(E1394:E1394)</f>
        <v>10000</v>
      </c>
      <c r="F1393" s="1869">
        <f t="shared" ref="F1393" si="294">SUM(F1394:F1394)</f>
        <v>2800</v>
      </c>
      <c r="G1393" s="1870">
        <f t="shared" si="279"/>
        <v>0.28000000000000003</v>
      </c>
    </row>
    <row r="1394" spans="1:7" ht="17.100000000000001" customHeight="1" thickBot="1">
      <c r="A1394" s="848"/>
      <c r="B1394" s="860"/>
      <c r="C1394" s="1871" t="s">
        <v>547</v>
      </c>
      <c r="D1394" s="1872" t="s">
        <v>548</v>
      </c>
      <c r="E1394" s="1863">
        <v>10000</v>
      </c>
      <c r="F1394" s="1863">
        <v>2800</v>
      </c>
      <c r="G1394" s="1864">
        <f t="shared" si="279"/>
        <v>0.28000000000000003</v>
      </c>
    </row>
    <row r="1395" spans="1:7" ht="17.100000000000001" customHeight="1" thickBot="1">
      <c r="A1395" s="842" t="s">
        <v>71</v>
      </c>
      <c r="B1395" s="843"/>
      <c r="C1395" s="844"/>
      <c r="D1395" s="845" t="s">
        <v>888</v>
      </c>
      <c r="E1395" s="846">
        <f>SUM(E1396,E1400,E1404,E1460,E1456)</f>
        <v>26854035</v>
      </c>
      <c r="F1395" s="846">
        <f>SUM(F1396,F1400,F1404,F1460,F1456)</f>
        <v>20306715</v>
      </c>
      <c r="G1395" s="847">
        <f t="shared" si="279"/>
        <v>0.75618859512173864</v>
      </c>
    </row>
    <row r="1396" spans="1:7" ht="17.100000000000001" customHeight="1" thickBot="1">
      <c r="A1396" s="1706"/>
      <c r="B1396" s="1569" t="s">
        <v>72</v>
      </c>
      <c r="C1396" s="1570"/>
      <c r="D1396" s="1571" t="s">
        <v>447</v>
      </c>
      <c r="E1396" s="1075">
        <f t="shared" ref="E1396:F1397" si="295">E1397</f>
        <v>150000</v>
      </c>
      <c r="F1396" s="1075">
        <f t="shared" si="295"/>
        <v>200000</v>
      </c>
      <c r="G1396" s="1076">
        <f t="shared" si="279"/>
        <v>1.3333333333333333</v>
      </c>
    </row>
    <row r="1397" spans="1:7" ht="17.100000000000001" customHeight="1">
      <c r="A1397" s="1706"/>
      <c r="B1397" s="2876"/>
      <c r="C1397" s="2802" t="s">
        <v>521</v>
      </c>
      <c r="D1397" s="2802"/>
      <c r="E1397" s="854">
        <f>E1398</f>
        <v>150000</v>
      </c>
      <c r="F1397" s="854">
        <f t="shared" si="295"/>
        <v>200000</v>
      </c>
      <c r="G1397" s="855">
        <f t="shared" si="279"/>
        <v>1.3333333333333333</v>
      </c>
    </row>
    <row r="1398" spans="1:7" ht="17.100000000000001" customHeight="1">
      <c r="A1398" s="1706"/>
      <c r="B1398" s="2876"/>
      <c r="C1398" s="2873" t="s">
        <v>618</v>
      </c>
      <c r="D1398" s="2873"/>
      <c r="E1398" s="1807">
        <f>SUM(E1399:E1399)</f>
        <v>150000</v>
      </c>
      <c r="F1398" s="1807">
        <f t="shared" ref="F1398" si="296">SUM(F1399:F1399)</f>
        <v>200000</v>
      </c>
      <c r="G1398" s="1808">
        <f t="shared" si="279"/>
        <v>1.3333333333333333</v>
      </c>
    </row>
    <row r="1399" spans="1:7" ht="51.75" thickBot="1">
      <c r="A1399" s="1706"/>
      <c r="B1399" s="2876"/>
      <c r="C1399" s="1873" t="s">
        <v>633</v>
      </c>
      <c r="D1399" s="1874" t="s">
        <v>889</v>
      </c>
      <c r="E1399" s="1765">
        <v>150000</v>
      </c>
      <c r="F1399" s="1765">
        <v>200000</v>
      </c>
      <c r="G1399" s="1766">
        <f t="shared" si="279"/>
        <v>1.3333333333333333</v>
      </c>
    </row>
    <row r="1400" spans="1:7" ht="26.25" hidden="1" thickBot="1">
      <c r="A1400" s="1706"/>
      <c r="B1400" s="1569" t="s">
        <v>890</v>
      </c>
      <c r="C1400" s="1570"/>
      <c r="D1400" s="1571" t="s">
        <v>891</v>
      </c>
      <c r="E1400" s="1274">
        <f>E1401</f>
        <v>50000</v>
      </c>
      <c r="F1400" s="1274">
        <f t="shared" ref="F1400:F1402" si="297">F1401</f>
        <v>0</v>
      </c>
      <c r="G1400" s="1275">
        <f t="shared" si="279"/>
        <v>0</v>
      </c>
    </row>
    <row r="1401" spans="1:7" ht="17.25" hidden="1" customHeight="1">
      <c r="A1401" s="1706"/>
      <c r="B1401" s="2876"/>
      <c r="C1401" s="2802" t="s">
        <v>574</v>
      </c>
      <c r="D1401" s="2802"/>
      <c r="E1401" s="1875">
        <f>E1402</f>
        <v>50000</v>
      </c>
      <c r="F1401" s="1875">
        <f t="shared" si="297"/>
        <v>0</v>
      </c>
      <c r="G1401" s="1876">
        <f t="shared" si="279"/>
        <v>0</v>
      </c>
    </row>
    <row r="1402" spans="1:7" ht="17.25" hidden="1" customHeight="1">
      <c r="A1402" s="1706"/>
      <c r="B1402" s="2876"/>
      <c r="C1402" s="2877" t="s">
        <v>575</v>
      </c>
      <c r="D1402" s="2877"/>
      <c r="E1402" s="1765">
        <f>E1403</f>
        <v>50000</v>
      </c>
      <c r="F1402" s="1765">
        <f t="shared" si="297"/>
        <v>0</v>
      </c>
      <c r="G1402" s="1766">
        <f t="shared" si="279"/>
        <v>0</v>
      </c>
    </row>
    <row r="1403" spans="1:7" ht="40.5" hidden="1" customHeight="1" thickBot="1">
      <c r="A1403" s="1706"/>
      <c r="B1403" s="2876"/>
      <c r="C1403" s="1877" t="s">
        <v>695</v>
      </c>
      <c r="D1403" s="1874" t="s">
        <v>696</v>
      </c>
      <c r="E1403" s="1765">
        <v>50000</v>
      </c>
      <c r="F1403" s="1765">
        <v>0</v>
      </c>
      <c r="G1403" s="1838">
        <f t="shared" si="279"/>
        <v>0</v>
      </c>
    </row>
    <row r="1404" spans="1:7" ht="17.100000000000001" customHeight="1" thickBot="1">
      <c r="A1404" s="848"/>
      <c r="B1404" s="1072" t="s">
        <v>73</v>
      </c>
      <c r="C1404" s="1073"/>
      <c r="D1404" s="1074" t="s">
        <v>449</v>
      </c>
      <c r="E1404" s="1075">
        <f t="shared" ref="E1404:F1404" si="298">E1405+E1452</f>
        <v>3544846</v>
      </c>
      <c r="F1404" s="1075">
        <f t="shared" si="298"/>
        <v>3981525</v>
      </c>
      <c r="G1404" s="1076">
        <f t="shared" si="279"/>
        <v>1.1231870157405992</v>
      </c>
    </row>
    <row r="1405" spans="1:7" ht="17.100000000000001" customHeight="1">
      <c r="A1405" s="848"/>
      <c r="B1405" s="860"/>
      <c r="C1405" s="2802" t="s">
        <v>521</v>
      </c>
      <c r="D1405" s="2802"/>
      <c r="E1405" s="854">
        <f>E1406+E1437+E1440</f>
        <v>3544846</v>
      </c>
      <c r="F1405" s="854">
        <f>F1406+F1437+F1440</f>
        <v>3902525</v>
      </c>
      <c r="G1405" s="855">
        <f t="shared" si="279"/>
        <v>1.1009011392878563</v>
      </c>
    </row>
    <row r="1406" spans="1:7" ht="17.100000000000001" customHeight="1">
      <c r="A1406" s="848"/>
      <c r="B1406" s="860"/>
      <c r="C1406" s="2873" t="s">
        <v>522</v>
      </c>
      <c r="D1406" s="2873"/>
      <c r="E1406" s="1807">
        <f t="shared" ref="E1406:F1406" si="299">E1407+E1414</f>
        <v>2854346</v>
      </c>
      <c r="F1406" s="1807">
        <f t="shared" si="299"/>
        <v>2713065</v>
      </c>
      <c r="G1406" s="1808">
        <f t="shared" si="279"/>
        <v>0.95050319758011115</v>
      </c>
    </row>
    <row r="1407" spans="1:7" ht="17.100000000000001" customHeight="1">
      <c r="A1407" s="848"/>
      <c r="B1407" s="860"/>
      <c r="C1407" s="2878" t="s">
        <v>523</v>
      </c>
      <c r="D1407" s="2878"/>
      <c r="E1407" s="1845">
        <f t="shared" ref="E1407:F1407" si="300">SUM(E1408:E1412)</f>
        <v>2076110</v>
      </c>
      <c r="F1407" s="1845">
        <f t="shared" si="300"/>
        <v>2014197</v>
      </c>
      <c r="G1407" s="1846">
        <f t="shared" si="279"/>
        <v>0.97017836241817634</v>
      </c>
    </row>
    <row r="1408" spans="1:7" ht="17.100000000000001" customHeight="1">
      <c r="A1408" s="848"/>
      <c r="B1408" s="860"/>
      <c r="C1408" s="1878" t="s">
        <v>524</v>
      </c>
      <c r="D1408" s="1879" t="s">
        <v>525</v>
      </c>
      <c r="E1408" s="1807">
        <v>1579719</v>
      </c>
      <c r="F1408" s="1807">
        <v>1557354</v>
      </c>
      <c r="G1408" s="1808">
        <f t="shared" si="279"/>
        <v>0.98584241880992762</v>
      </c>
    </row>
    <row r="1409" spans="1:7" ht="17.100000000000001" customHeight="1">
      <c r="A1409" s="848"/>
      <c r="B1409" s="860"/>
      <c r="C1409" s="1878" t="s">
        <v>526</v>
      </c>
      <c r="D1409" s="1879" t="s">
        <v>527</v>
      </c>
      <c r="E1409" s="1807">
        <v>164078</v>
      </c>
      <c r="F1409" s="1807">
        <v>133760</v>
      </c>
      <c r="G1409" s="1808">
        <f t="shared" si="279"/>
        <v>0.81522202854739823</v>
      </c>
    </row>
    <row r="1410" spans="1:7" ht="17.100000000000001" customHeight="1">
      <c r="A1410" s="848"/>
      <c r="B1410" s="860"/>
      <c r="C1410" s="1878" t="s">
        <v>528</v>
      </c>
      <c r="D1410" s="1879" t="s">
        <v>529</v>
      </c>
      <c r="E1410" s="1807">
        <v>281729</v>
      </c>
      <c r="F1410" s="1807">
        <v>282239</v>
      </c>
      <c r="G1410" s="1808">
        <f t="shared" si="279"/>
        <v>1.0018102502759745</v>
      </c>
    </row>
    <row r="1411" spans="1:7" ht="17.100000000000001" customHeight="1">
      <c r="A1411" s="848"/>
      <c r="B1411" s="860"/>
      <c r="C1411" s="1878" t="s">
        <v>530</v>
      </c>
      <c r="D1411" s="1879" t="s">
        <v>531</v>
      </c>
      <c r="E1411" s="1807">
        <v>40529</v>
      </c>
      <c r="F1411" s="1807">
        <v>40844</v>
      </c>
      <c r="G1411" s="1808">
        <f t="shared" si="279"/>
        <v>1.0077722124898221</v>
      </c>
    </row>
    <row r="1412" spans="1:7" ht="17.100000000000001" hidden="1" customHeight="1">
      <c r="A1412" s="848"/>
      <c r="B1412" s="860"/>
      <c r="C1412" s="1057" t="s">
        <v>532</v>
      </c>
      <c r="D1412" s="1058" t="s">
        <v>533</v>
      </c>
      <c r="E1412" s="1807">
        <v>10055</v>
      </c>
      <c r="F1412" s="1807">
        <v>0</v>
      </c>
      <c r="G1412" s="1808">
        <f t="shared" si="279"/>
        <v>0</v>
      </c>
    </row>
    <row r="1413" spans="1:7" ht="17.100000000000001" customHeight="1">
      <c r="A1413" s="848"/>
      <c r="B1413" s="860"/>
      <c r="C1413" s="999"/>
      <c r="D1413" s="999"/>
      <c r="E1413" s="882"/>
      <c r="F1413" s="882"/>
      <c r="G1413" s="883"/>
    </row>
    <row r="1414" spans="1:7" ht="17.100000000000001" customHeight="1">
      <c r="A1414" s="848"/>
      <c r="B1414" s="860"/>
      <c r="C1414" s="2871" t="s">
        <v>534</v>
      </c>
      <c r="D1414" s="2871"/>
      <c r="E1414" s="1845">
        <f t="shared" ref="E1414:F1414" si="301">SUM(E1415:E1435)</f>
        <v>778236</v>
      </c>
      <c r="F1414" s="1845">
        <f t="shared" si="301"/>
        <v>698868</v>
      </c>
      <c r="G1414" s="1846">
        <f t="shared" si="279"/>
        <v>0.8980155120040707</v>
      </c>
    </row>
    <row r="1415" spans="1:7" ht="17.100000000000001" customHeight="1">
      <c r="A1415" s="848"/>
      <c r="B1415" s="860"/>
      <c r="C1415" s="1878" t="s">
        <v>535</v>
      </c>
      <c r="D1415" s="1879" t="s">
        <v>536</v>
      </c>
      <c r="E1415" s="1807">
        <v>8376</v>
      </c>
      <c r="F1415" s="1807">
        <v>10000</v>
      </c>
      <c r="G1415" s="1808">
        <f t="shared" si="279"/>
        <v>1.1938872970391594</v>
      </c>
    </row>
    <row r="1416" spans="1:7" ht="17.100000000000001" customHeight="1">
      <c r="A1416" s="848"/>
      <c r="B1416" s="860"/>
      <c r="C1416" s="1878" t="s">
        <v>628</v>
      </c>
      <c r="D1416" s="1879" t="s">
        <v>602</v>
      </c>
      <c r="E1416" s="1807">
        <v>22000</v>
      </c>
      <c r="F1416" s="1807">
        <v>22000</v>
      </c>
      <c r="G1416" s="1808">
        <f t="shared" si="279"/>
        <v>1</v>
      </c>
    </row>
    <row r="1417" spans="1:7" ht="17.100000000000001" customHeight="1">
      <c r="A1417" s="848"/>
      <c r="B1417" s="860"/>
      <c r="C1417" s="1878" t="s">
        <v>537</v>
      </c>
      <c r="D1417" s="1879" t="s">
        <v>538</v>
      </c>
      <c r="E1417" s="1807">
        <v>123503</v>
      </c>
      <c r="F1417" s="1807">
        <v>64650</v>
      </c>
      <c r="G1417" s="1808">
        <f t="shared" si="279"/>
        <v>0.52346906552877259</v>
      </c>
    </row>
    <row r="1418" spans="1:7" ht="17.100000000000001" customHeight="1">
      <c r="A1418" s="848"/>
      <c r="B1418" s="860"/>
      <c r="C1418" s="1878" t="s">
        <v>539</v>
      </c>
      <c r="D1418" s="1879" t="s">
        <v>540</v>
      </c>
      <c r="E1418" s="1807">
        <v>5000</v>
      </c>
      <c r="F1418" s="1807">
        <v>4000</v>
      </c>
      <c r="G1418" s="1808">
        <f t="shared" si="279"/>
        <v>0.8</v>
      </c>
    </row>
    <row r="1419" spans="1:7" ht="17.100000000000001" customHeight="1">
      <c r="A1419" s="848"/>
      <c r="B1419" s="860"/>
      <c r="C1419" s="1878" t="s">
        <v>541</v>
      </c>
      <c r="D1419" s="1879" t="s">
        <v>542</v>
      </c>
      <c r="E1419" s="1807">
        <v>146095</v>
      </c>
      <c r="F1419" s="1807">
        <v>83963</v>
      </c>
      <c r="G1419" s="1808">
        <f t="shared" si="279"/>
        <v>0.57471508265169924</v>
      </c>
    </row>
    <row r="1420" spans="1:7" ht="17.100000000000001" customHeight="1">
      <c r="A1420" s="848"/>
      <c r="B1420" s="860"/>
      <c r="C1420" s="1878" t="s">
        <v>543</v>
      </c>
      <c r="D1420" s="1879" t="s">
        <v>544</v>
      </c>
      <c r="E1420" s="1807">
        <v>12715</v>
      </c>
      <c r="F1420" s="1807">
        <v>49825</v>
      </c>
      <c r="G1420" s="1808">
        <f t="shared" si="279"/>
        <v>3.918600078647267</v>
      </c>
    </row>
    <row r="1421" spans="1:7" ht="17.100000000000001" customHeight="1">
      <c r="A1421" s="848"/>
      <c r="B1421" s="860"/>
      <c r="C1421" s="1878" t="s">
        <v>545</v>
      </c>
      <c r="D1421" s="1879" t="s">
        <v>546</v>
      </c>
      <c r="E1421" s="1807">
        <v>4500</v>
      </c>
      <c r="F1421" s="1807">
        <v>4800</v>
      </c>
      <c r="G1421" s="1808">
        <f t="shared" si="279"/>
        <v>1.0666666666666667</v>
      </c>
    </row>
    <row r="1422" spans="1:7" ht="17.100000000000001" customHeight="1">
      <c r="A1422" s="848"/>
      <c r="B1422" s="860"/>
      <c r="C1422" s="1878" t="s">
        <v>547</v>
      </c>
      <c r="D1422" s="1879" t="s">
        <v>548</v>
      </c>
      <c r="E1422" s="1807">
        <v>220397</v>
      </c>
      <c r="F1422" s="1807">
        <v>218005</v>
      </c>
      <c r="G1422" s="1808">
        <f t="shared" si="279"/>
        <v>0.98914685771584909</v>
      </c>
    </row>
    <row r="1423" spans="1:7" ht="16.5" customHeight="1">
      <c r="A1423" s="848"/>
      <c r="B1423" s="860"/>
      <c r="C1423" s="1878" t="s">
        <v>549</v>
      </c>
      <c r="D1423" s="1879" t="s">
        <v>550</v>
      </c>
      <c r="E1423" s="1807">
        <v>18500</v>
      </c>
      <c r="F1423" s="1807">
        <v>17769</v>
      </c>
      <c r="G1423" s="1808">
        <f t="shared" si="279"/>
        <v>0.96048648648648649</v>
      </c>
    </row>
    <row r="1424" spans="1:7" ht="16.5" hidden="1" customHeight="1">
      <c r="A1424" s="848"/>
      <c r="B1424" s="860"/>
      <c r="C1424" s="1878" t="s">
        <v>740</v>
      </c>
      <c r="D1424" s="1879" t="s">
        <v>701</v>
      </c>
      <c r="E1424" s="1807">
        <v>2000</v>
      </c>
      <c r="F1424" s="1807">
        <v>0</v>
      </c>
      <c r="G1424" s="1808">
        <f t="shared" si="279"/>
        <v>0</v>
      </c>
    </row>
    <row r="1425" spans="1:7" ht="16.5" customHeight="1">
      <c r="A1425" s="848"/>
      <c r="B1425" s="860"/>
      <c r="C1425" s="1878" t="s">
        <v>551</v>
      </c>
      <c r="D1425" s="1879" t="s">
        <v>552</v>
      </c>
      <c r="E1425" s="1807">
        <v>55000</v>
      </c>
      <c r="F1425" s="1807">
        <v>55000</v>
      </c>
      <c r="G1425" s="1808">
        <f t="shared" si="279"/>
        <v>1</v>
      </c>
    </row>
    <row r="1426" spans="1:7" ht="24.75" customHeight="1">
      <c r="A1426" s="848"/>
      <c r="B1426" s="860"/>
      <c r="C1426" s="1878" t="s">
        <v>553</v>
      </c>
      <c r="D1426" s="1879" t="s">
        <v>554</v>
      </c>
      <c r="E1426" s="1807">
        <v>23415</v>
      </c>
      <c r="F1426" s="1807">
        <v>18740</v>
      </c>
      <c r="G1426" s="1808">
        <f t="shared" si="279"/>
        <v>0.80034166132820839</v>
      </c>
    </row>
    <row r="1427" spans="1:7" ht="17.100000000000001" customHeight="1">
      <c r="A1427" s="848"/>
      <c r="B1427" s="860"/>
      <c r="C1427" s="1878" t="s">
        <v>555</v>
      </c>
      <c r="D1427" s="1879" t="s">
        <v>556</v>
      </c>
      <c r="E1427" s="1807">
        <v>13015</v>
      </c>
      <c r="F1427" s="1807">
        <v>13000</v>
      </c>
      <c r="G1427" s="1808">
        <f t="shared" ref="G1427:G1499" si="302">F1427/E1427</f>
        <v>0.99884748367268539</v>
      </c>
    </row>
    <row r="1428" spans="1:7" ht="17.100000000000001" customHeight="1">
      <c r="A1428" s="848"/>
      <c r="B1428" s="860"/>
      <c r="C1428" s="1878" t="s">
        <v>683</v>
      </c>
      <c r="D1428" s="1879" t="s">
        <v>684</v>
      </c>
      <c r="E1428" s="1807">
        <v>5000</v>
      </c>
      <c r="F1428" s="1807">
        <v>3500</v>
      </c>
      <c r="G1428" s="1808">
        <f t="shared" si="302"/>
        <v>0.7</v>
      </c>
    </row>
    <row r="1429" spans="1:7" ht="17.100000000000001" customHeight="1">
      <c r="A1429" s="848"/>
      <c r="B1429" s="860"/>
      <c r="C1429" s="1878" t="s">
        <v>557</v>
      </c>
      <c r="D1429" s="1879" t="s">
        <v>558</v>
      </c>
      <c r="E1429" s="1807">
        <v>1500</v>
      </c>
      <c r="F1429" s="1807">
        <v>7142</v>
      </c>
      <c r="G1429" s="1808">
        <f t="shared" si="302"/>
        <v>4.761333333333333</v>
      </c>
    </row>
    <row r="1430" spans="1:7" ht="17.100000000000001" customHeight="1">
      <c r="A1430" s="848"/>
      <c r="B1430" s="860"/>
      <c r="C1430" s="1878" t="s">
        <v>559</v>
      </c>
      <c r="D1430" s="1879" t="s">
        <v>560</v>
      </c>
      <c r="E1430" s="1807">
        <v>57455</v>
      </c>
      <c r="F1430" s="1807">
        <v>67385</v>
      </c>
      <c r="G1430" s="1808">
        <f t="shared" si="302"/>
        <v>1.1728309111478548</v>
      </c>
    </row>
    <row r="1431" spans="1:7" ht="17.100000000000001" customHeight="1">
      <c r="A1431" s="848"/>
      <c r="B1431" s="860"/>
      <c r="C1431" s="1878" t="s">
        <v>561</v>
      </c>
      <c r="D1431" s="1879" t="s">
        <v>562</v>
      </c>
      <c r="E1431" s="1807">
        <v>22681</v>
      </c>
      <c r="F1431" s="1807">
        <v>20161</v>
      </c>
      <c r="G1431" s="1808">
        <f t="shared" si="302"/>
        <v>0.88889378775186279</v>
      </c>
    </row>
    <row r="1432" spans="1:7" ht="17.100000000000001" customHeight="1">
      <c r="A1432" s="848"/>
      <c r="B1432" s="860"/>
      <c r="C1432" s="1878" t="s">
        <v>565</v>
      </c>
      <c r="D1432" s="1879" t="s">
        <v>566</v>
      </c>
      <c r="E1432" s="1807">
        <v>20207</v>
      </c>
      <c r="F1432" s="1807">
        <v>21928</v>
      </c>
      <c r="G1432" s="1808">
        <f t="shared" si="302"/>
        <v>1.0851685059632801</v>
      </c>
    </row>
    <row r="1433" spans="1:7" ht="17.100000000000001" customHeight="1">
      <c r="A1433" s="848"/>
      <c r="B1433" s="860"/>
      <c r="C1433" s="1880" t="s">
        <v>567</v>
      </c>
      <c r="D1433" s="1879" t="s">
        <v>568</v>
      </c>
      <c r="E1433" s="1807">
        <v>4000</v>
      </c>
      <c r="F1433" s="1807">
        <v>4000</v>
      </c>
      <c r="G1433" s="1808">
        <f t="shared" si="302"/>
        <v>1</v>
      </c>
    </row>
    <row r="1434" spans="1:7" ht="17.100000000000001" hidden="1" customHeight="1">
      <c r="A1434" s="848"/>
      <c r="B1434" s="860"/>
      <c r="C1434" s="1036" t="s">
        <v>631</v>
      </c>
      <c r="D1434" s="1879" t="s">
        <v>632</v>
      </c>
      <c r="E1434" s="1807">
        <v>1877</v>
      </c>
      <c r="F1434" s="1807">
        <v>0</v>
      </c>
      <c r="G1434" s="1808">
        <f t="shared" si="302"/>
        <v>0</v>
      </c>
    </row>
    <row r="1435" spans="1:7" ht="17.100000000000001" customHeight="1">
      <c r="A1435" s="848"/>
      <c r="B1435" s="860"/>
      <c r="C1435" s="1881" t="s">
        <v>569</v>
      </c>
      <c r="D1435" s="1882" t="s">
        <v>570</v>
      </c>
      <c r="E1435" s="1807">
        <v>11000</v>
      </c>
      <c r="F1435" s="1807">
        <v>13000</v>
      </c>
      <c r="G1435" s="1808">
        <f t="shared" si="302"/>
        <v>1.1818181818181819</v>
      </c>
    </row>
    <row r="1436" spans="1:7" ht="17.100000000000001" customHeight="1">
      <c r="A1436" s="848"/>
      <c r="B1436" s="860"/>
      <c r="C1436" s="1883"/>
      <c r="D1436" s="1884"/>
      <c r="E1436" s="1885"/>
      <c r="F1436" s="1885"/>
      <c r="G1436" s="1886"/>
    </row>
    <row r="1437" spans="1:7" ht="17.100000000000001" customHeight="1">
      <c r="A1437" s="848"/>
      <c r="B1437" s="860"/>
      <c r="C1437" s="2828" t="s">
        <v>618</v>
      </c>
      <c r="D1437" s="2828"/>
      <c r="E1437" s="1190">
        <f>E1438</f>
        <v>680000</v>
      </c>
      <c r="F1437" s="1190">
        <f t="shared" ref="F1437" si="303">F1438</f>
        <v>1180000</v>
      </c>
      <c r="G1437" s="1191">
        <f t="shared" si="302"/>
        <v>1.7352941176470589</v>
      </c>
    </row>
    <row r="1438" spans="1:7" ht="45.75" customHeight="1">
      <c r="A1438" s="848"/>
      <c r="B1438" s="860"/>
      <c r="C1438" s="1865" t="s">
        <v>633</v>
      </c>
      <c r="D1438" s="1879" t="s">
        <v>634</v>
      </c>
      <c r="E1438" s="1807">
        <v>680000</v>
      </c>
      <c r="F1438" s="1807">
        <v>1180000</v>
      </c>
      <c r="G1438" s="1808">
        <f t="shared" si="302"/>
        <v>1.7352941176470589</v>
      </c>
    </row>
    <row r="1439" spans="1:7" ht="17.100000000000001" customHeight="1">
      <c r="A1439" s="848"/>
      <c r="B1439" s="860"/>
      <c r="C1439" s="999"/>
      <c r="D1439" s="999"/>
      <c r="E1439" s="882"/>
      <c r="F1439" s="882"/>
      <c r="G1439" s="883"/>
    </row>
    <row r="1440" spans="1:7" ht="17.100000000000001" customHeight="1">
      <c r="A1440" s="848"/>
      <c r="B1440" s="2830"/>
      <c r="C1440" s="2858" t="s">
        <v>571</v>
      </c>
      <c r="D1440" s="2858"/>
      <c r="E1440" s="1765">
        <f t="shared" ref="E1440:F1440" si="304">SUM(E1441:E1450)</f>
        <v>10500</v>
      </c>
      <c r="F1440" s="1765">
        <f t="shared" si="304"/>
        <v>9460</v>
      </c>
      <c r="G1440" s="1838">
        <f t="shared" si="302"/>
        <v>0.90095238095238095</v>
      </c>
    </row>
    <row r="1441" spans="1:7" ht="15.75" customHeight="1">
      <c r="A1441" s="848"/>
      <c r="B1441" s="2830"/>
      <c r="C1441" s="1865" t="s">
        <v>572</v>
      </c>
      <c r="D1441" s="1879" t="s">
        <v>573</v>
      </c>
      <c r="E1441" s="1887">
        <v>9000</v>
      </c>
      <c r="F1441" s="1887">
        <v>8460</v>
      </c>
      <c r="G1441" s="1888">
        <f t="shared" si="302"/>
        <v>0.94</v>
      </c>
    </row>
    <row r="1442" spans="1:7" ht="17.100000000000001" hidden="1" customHeight="1">
      <c r="A1442" s="848"/>
      <c r="B1442" s="2830"/>
      <c r="C1442" s="1889"/>
      <c r="D1442" s="1890" t="s">
        <v>892</v>
      </c>
      <c r="E1442" s="1891"/>
      <c r="F1442" s="1891"/>
      <c r="G1442" s="1892" t="e">
        <f t="shared" si="302"/>
        <v>#DIV/0!</v>
      </c>
    </row>
    <row r="1443" spans="1:7" ht="17.100000000000001" hidden="1" customHeight="1">
      <c r="A1443" s="848"/>
      <c r="B1443" s="2830"/>
      <c r="C1443" s="2872" t="s">
        <v>521</v>
      </c>
      <c r="D1443" s="2872"/>
      <c r="E1443" s="1821"/>
      <c r="F1443" s="1821"/>
      <c r="G1443" s="1822" t="e">
        <f t="shared" si="302"/>
        <v>#DIV/0!</v>
      </c>
    </row>
    <row r="1444" spans="1:7" ht="17.100000000000001" hidden="1" customHeight="1">
      <c r="A1444" s="848"/>
      <c r="B1444" s="2830"/>
      <c r="C1444" s="2873" t="s">
        <v>618</v>
      </c>
      <c r="D1444" s="2873"/>
      <c r="E1444" s="1807"/>
      <c r="F1444" s="1807"/>
      <c r="G1444" s="1808" t="e">
        <f t="shared" si="302"/>
        <v>#DIV/0!</v>
      </c>
    </row>
    <row r="1445" spans="1:7" ht="36.75" hidden="1" customHeight="1">
      <c r="A1445" s="848"/>
      <c r="B1445" s="2830"/>
      <c r="C1445" s="1878" t="s">
        <v>460</v>
      </c>
      <c r="D1445" s="1879" t="s">
        <v>662</v>
      </c>
      <c r="E1445" s="1807"/>
      <c r="F1445" s="1807"/>
      <c r="G1445" s="1808" t="e">
        <f t="shared" si="302"/>
        <v>#DIV/0!</v>
      </c>
    </row>
    <row r="1446" spans="1:7" ht="17.100000000000001" hidden="1" customHeight="1">
      <c r="A1446" s="848"/>
      <c r="B1446" s="2830"/>
      <c r="C1446" s="1889"/>
      <c r="D1446" s="1890" t="s">
        <v>893</v>
      </c>
      <c r="E1446" s="1891"/>
      <c r="F1446" s="1891"/>
      <c r="G1446" s="1892" t="e">
        <f t="shared" si="302"/>
        <v>#DIV/0!</v>
      </c>
    </row>
    <row r="1447" spans="1:7" ht="17.100000000000001" hidden="1" customHeight="1">
      <c r="A1447" s="848"/>
      <c r="B1447" s="2830"/>
      <c r="C1447" s="2872" t="s">
        <v>521</v>
      </c>
      <c r="D1447" s="2872"/>
      <c r="E1447" s="1821"/>
      <c r="F1447" s="1821"/>
      <c r="G1447" s="1822" t="e">
        <f t="shared" si="302"/>
        <v>#DIV/0!</v>
      </c>
    </row>
    <row r="1448" spans="1:7" ht="17.100000000000001" hidden="1" customHeight="1">
      <c r="A1448" s="848"/>
      <c r="B1448" s="2830"/>
      <c r="C1448" s="2873" t="s">
        <v>618</v>
      </c>
      <c r="D1448" s="2873"/>
      <c r="E1448" s="1807"/>
      <c r="F1448" s="1807"/>
      <c r="G1448" s="1808" t="e">
        <f t="shared" si="302"/>
        <v>#DIV/0!</v>
      </c>
    </row>
    <row r="1449" spans="1:7" ht="0.75" hidden="1" customHeight="1">
      <c r="A1449" s="848"/>
      <c r="B1449" s="2830"/>
      <c r="C1449" s="1878" t="s">
        <v>460</v>
      </c>
      <c r="D1449" s="1879" t="s">
        <v>662</v>
      </c>
      <c r="E1449" s="1807"/>
      <c r="F1449" s="1807"/>
      <c r="G1449" s="1808" t="e">
        <f t="shared" si="302"/>
        <v>#DIV/0!</v>
      </c>
    </row>
    <row r="1450" spans="1:7" ht="17.25" customHeight="1">
      <c r="A1450" s="848"/>
      <c r="B1450" s="2830"/>
      <c r="C1450" s="1878" t="s">
        <v>736</v>
      </c>
      <c r="D1450" s="1879" t="s">
        <v>558</v>
      </c>
      <c r="E1450" s="1807">
        <v>1500</v>
      </c>
      <c r="F1450" s="1807">
        <v>1000</v>
      </c>
      <c r="G1450" s="1808">
        <f t="shared" si="302"/>
        <v>0.66666666666666663</v>
      </c>
    </row>
    <row r="1451" spans="1:7" ht="17.25" customHeight="1">
      <c r="A1451" s="848"/>
      <c r="B1451" s="2830"/>
      <c r="C1451" s="999"/>
      <c r="D1451" s="999"/>
      <c r="E1451" s="882"/>
      <c r="F1451" s="882"/>
      <c r="G1451" s="883"/>
    </row>
    <row r="1452" spans="1:7" ht="17.25" customHeight="1">
      <c r="A1452" s="848"/>
      <c r="B1452" s="2830"/>
      <c r="C1452" s="2874" t="s">
        <v>574</v>
      </c>
      <c r="D1452" s="2874"/>
      <c r="E1452" s="1821">
        <f t="shared" ref="E1452:F1452" si="305">E1453</f>
        <v>0</v>
      </c>
      <c r="F1452" s="1821">
        <f t="shared" si="305"/>
        <v>79000</v>
      </c>
      <c r="G1452" s="1822"/>
    </row>
    <row r="1453" spans="1:7" ht="17.25" customHeight="1">
      <c r="A1453" s="848"/>
      <c r="B1453" s="2830"/>
      <c r="C1453" s="2875" t="s">
        <v>575</v>
      </c>
      <c r="D1453" s="2875"/>
      <c r="E1453" s="1807">
        <f>SUM(E1455+E1454)</f>
        <v>0</v>
      </c>
      <c r="F1453" s="1807">
        <f>SUM(F1455+F1454)</f>
        <v>79000</v>
      </c>
      <c r="G1453" s="1808"/>
    </row>
    <row r="1454" spans="1:7" ht="17.25" customHeight="1">
      <c r="A1454" s="848"/>
      <c r="B1454" s="2830"/>
      <c r="C1454" s="1893" t="s">
        <v>582</v>
      </c>
      <c r="D1454" s="1894" t="s">
        <v>577</v>
      </c>
      <c r="E1454" s="1765">
        <v>0</v>
      </c>
      <c r="F1454" s="1765">
        <v>67000</v>
      </c>
      <c r="G1454" s="1838"/>
    </row>
    <row r="1455" spans="1:7" ht="17.25" customHeight="1" thickBot="1">
      <c r="A1455" s="848"/>
      <c r="B1455" s="2830"/>
      <c r="C1455" s="1881" t="s">
        <v>576</v>
      </c>
      <c r="D1455" s="1882" t="s">
        <v>622</v>
      </c>
      <c r="E1455" s="1765">
        <v>0</v>
      </c>
      <c r="F1455" s="1765">
        <v>12000</v>
      </c>
      <c r="G1455" s="1838"/>
    </row>
    <row r="1456" spans="1:7" ht="17.100000000000001" hidden="1" customHeight="1" thickBot="1">
      <c r="A1456" s="848"/>
      <c r="B1456" s="1072" t="s">
        <v>894</v>
      </c>
      <c r="C1456" s="1073"/>
      <c r="D1456" s="1074" t="s">
        <v>895</v>
      </c>
      <c r="E1456" s="1075">
        <f t="shared" ref="E1456:F1458" si="306">E1457</f>
        <v>170700</v>
      </c>
      <c r="F1456" s="1075">
        <f t="shared" si="306"/>
        <v>0</v>
      </c>
      <c r="G1456" s="1076">
        <f>F1456/E1456</f>
        <v>0</v>
      </c>
    </row>
    <row r="1457" spans="1:8" ht="17.25" hidden="1" customHeight="1">
      <c r="A1457" s="848"/>
      <c r="B1457" s="860"/>
      <c r="C1457" s="2867" t="s">
        <v>574</v>
      </c>
      <c r="D1457" s="2867"/>
      <c r="E1457" s="1802">
        <f t="shared" si="306"/>
        <v>170700</v>
      </c>
      <c r="F1457" s="1802">
        <f t="shared" si="306"/>
        <v>0</v>
      </c>
      <c r="G1457" s="1895">
        <f>F1457/E1457</f>
        <v>0</v>
      </c>
    </row>
    <row r="1458" spans="1:8" ht="17.25" hidden="1" customHeight="1">
      <c r="A1458" s="848"/>
      <c r="B1458" s="860"/>
      <c r="C1458" s="2868" t="s">
        <v>575</v>
      </c>
      <c r="D1458" s="2868"/>
      <c r="E1458" s="1807">
        <f t="shared" si="306"/>
        <v>170700</v>
      </c>
      <c r="F1458" s="1807">
        <f t="shared" si="306"/>
        <v>0</v>
      </c>
      <c r="G1458" s="1838">
        <f t="shared" ref="G1458:G1459" si="307">F1458/E1458</f>
        <v>0</v>
      </c>
    </row>
    <row r="1459" spans="1:8" ht="43.5" hidden="1" customHeight="1" thickBot="1">
      <c r="A1459" s="848"/>
      <c r="B1459" s="860"/>
      <c r="C1459" s="1881" t="s">
        <v>775</v>
      </c>
      <c r="D1459" s="1882" t="s">
        <v>776</v>
      </c>
      <c r="E1459" s="962">
        <v>170700</v>
      </c>
      <c r="F1459" s="962">
        <v>0</v>
      </c>
      <c r="G1459" s="1896">
        <f t="shared" si="307"/>
        <v>0</v>
      </c>
    </row>
    <row r="1460" spans="1:8" ht="17.100000000000001" customHeight="1" thickBot="1">
      <c r="A1460" s="848"/>
      <c r="B1460" s="1072" t="s">
        <v>896</v>
      </c>
      <c r="C1460" s="1073"/>
      <c r="D1460" s="1074" t="s">
        <v>254</v>
      </c>
      <c r="E1460" s="1075">
        <f>E1461+E1522</f>
        <v>22938489</v>
      </c>
      <c r="F1460" s="1075">
        <f>F1461+F1522</f>
        <v>16125190</v>
      </c>
      <c r="G1460" s="1076">
        <f t="shared" si="302"/>
        <v>0.70297524828248281</v>
      </c>
    </row>
    <row r="1461" spans="1:8" ht="17.100000000000001" customHeight="1">
      <c r="A1461" s="848"/>
      <c r="B1461" s="1184"/>
      <c r="C1461" s="2802" t="s">
        <v>521</v>
      </c>
      <c r="D1461" s="2802"/>
      <c r="E1461" s="854">
        <f>E1462+E1469</f>
        <v>22042062</v>
      </c>
      <c r="F1461" s="854">
        <f>F1462+F1469</f>
        <v>15445190</v>
      </c>
      <c r="G1461" s="855">
        <f t="shared" si="302"/>
        <v>0.7007143886992061</v>
      </c>
    </row>
    <row r="1462" spans="1:8" ht="17.100000000000001" customHeight="1">
      <c r="A1462" s="848"/>
      <c r="B1462" s="1184"/>
      <c r="C1462" s="2869" t="s">
        <v>618</v>
      </c>
      <c r="D1462" s="2869"/>
      <c r="E1462" s="1807">
        <f>SUM(E1463:E1467)</f>
        <v>17828894</v>
      </c>
      <c r="F1462" s="1807">
        <f>SUM(F1463:F1467)</f>
        <v>10167600</v>
      </c>
      <c r="G1462" s="1808">
        <f t="shared" si="302"/>
        <v>0.57028775873590365</v>
      </c>
    </row>
    <row r="1463" spans="1:8" ht="59.25" customHeight="1">
      <c r="A1463" s="848"/>
      <c r="B1463" s="1184"/>
      <c r="C1463" s="1865" t="s">
        <v>460</v>
      </c>
      <c r="D1463" s="1879" t="s">
        <v>643</v>
      </c>
      <c r="E1463" s="1807">
        <v>14217047</v>
      </c>
      <c r="F1463" s="1807">
        <v>7835913</v>
      </c>
      <c r="G1463" s="1808">
        <f t="shared" si="302"/>
        <v>0.55116319162481486</v>
      </c>
    </row>
    <row r="1464" spans="1:8" ht="59.25" customHeight="1">
      <c r="A1464" s="848"/>
      <c r="B1464" s="1184"/>
      <c r="C1464" s="1865" t="s">
        <v>328</v>
      </c>
      <c r="D1464" s="1210" t="s">
        <v>590</v>
      </c>
      <c r="E1464" s="1807">
        <v>2962598</v>
      </c>
      <c r="F1464" s="1807">
        <v>2331687</v>
      </c>
      <c r="G1464" s="1808">
        <f t="shared" si="302"/>
        <v>0.78704130631290514</v>
      </c>
      <c r="H1464" s="1897"/>
    </row>
    <row r="1465" spans="1:8" ht="42.75" hidden="1" customHeight="1">
      <c r="A1465" s="848"/>
      <c r="B1465" s="1184"/>
      <c r="C1465" s="1893" t="s">
        <v>633</v>
      </c>
      <c r="D1465" s="1898" t="s">
        <v>634</v>
      </c>
      <c r="E1465" s="1190">
        <v>11000</v>
      </c>
      <c r="F1465" s="1190">
        <v>0</v>
      </c>
      <c r="G1465" s="1191">
        <f t="shared" si="302"/>
        <v>0</v>
      </c>
    </row>
    <row r="1466" spans="1:8" ht="42.75" hidden="1" customHeight="1">
      <c r="A1466" s="848"/>
      <c r="B1466" s="1184"/>
      <c r="C1466" s="1899" t="s">
        <v>431</v>
      </c>
      <c r="D1466" s="1900" t="s">
        <v>644</v>
      </c>
      <c r="E1466" s="1190">
        <v>689</v>
      </c>
      <c r="F1466" s="1190">
        <v>0</v>
      </c>
      <c r="G1466" s="1191">
        <f t="shared" si="302"/>
        <v>0</v>
      </c>
    </row>
    <row r="1467" spans="1:8" ht="15" hidden="1" customHeight="1">
      <c r="A1467" s="848"/>
      <c r="B1467" s="1184"/>
      <c r="C1467" s="1899">
        <v>2959</v>
      </c>
      <c r="D1467" s="1901" t="s">
        <v>645</v>
      </c>
      <c r="E1467" s="1190">
        <v>637560</v>
      </c>
      <c r="F1467" s="1190">
        <v>0</v>
      </c>
      <c r="G1467" s="1191">
        <f t="shared" si="302"/>
        <v>0</v>
      </c>
    </row>
    <row r="1468" spans="1:8">
      <c r="A1468" s="848"/>
      <c r="B1468" s="1184"/>
      <c r="C1468" s="1902"/>
      <c r="D1468" s="1903"/>
      <c r="E1468" s="1904"/>
      <c r="F1468" s="1904"/>
      <c r="G1468" s="1905"/>
    </row>
    <row r="1469" spans="1:8" ht="15.75" customHeight="1">
      <c r="A1469" s="848"/>
      <c r="B1469" s="1184"/>
      <c r="C1469" s="2869" t="s">
        <v>587</v>
      </c>
      <c r="D1469" s="2869"/>
      <c r="E1469" s="1807">
        <f>SUM(E1470:E1520)</f>
        <v>4213168</v>
      </c>
      <c r="F1469" s="1807">
        <f>SUM(F1470:F1520)</f>
        <v>5277590</v>
      </c>
      <c r="G1469" s="1808">
        <f t="shared" si="302"/>
        <v>1.2526417175863862</v>
      </c>
    </row>
    <row r="1470" spans="1:8" ht="53.25" customHeight="1">
      <c r="A1470" s="848"/>
      <c r="B1470" s="1184"/>
      <c r="C1470" s="1865" t="s">
        <v>418</v>
      </c>
      <c r="D1470" s="1210" t="s">
        <v>590</v>
      </c>
      <c r="E1470" s="1807">
        <v>2005329</v>
      </c>
      <c r="F1470" s="1807">
        <v>2702365</v>
      </c>
      <c r="G1470" s="1808">
        <f t="shared" si="302"/>
        <v>1.3475918415382213</v>
      </c>
    </row>
    <row r="1471" spans="1:8" ht="50.25" customHeight="1">
      <c r="A1471" s="848"/>
      <c r="B1471" s="1184"/>
      <c r="C1471" s="1865" t="s">
        <v>328</v>
      </c>
      <c r="D1471" s="1210" t="s">
        <v>590</v>
      </c>
      <c r="E1471" s="1807">
        <v>374036</v>
      </c>
      <c r="F1471" s="1807">
        <v>504048</v>
      </c>
      <c r="G1471" s="1808">
        <f t="shared" si="302"/>
        <v>1.3475922103754718</v>
      </c>
    </row>
    <row r="1472" spans="1:8" ht="18" customHeight="1">
      <c r="A1472" s="848"/>
      <c r="B1472" s="1184"/>
      <c r="C1472" s="1906" t="s">
        <v>897</v>
      </c>
      <c r="D1472" s="1879" t="s">
        <v>744</v>
      </c>
      <c r="E1472" s="1807">
        <v>3000</v>
      </c>
      <c r="F1472" s="1807">
        <v>3000</v>
      </c>
      <c r="G1472" s="1808">
        <f t="shared" si="302"/>
        <v>1</v>
      </c>
    </row>
    <row r="1473" spans="1:7" ht="18" hidden="1" customHeight="1">
      <c r="A1473" s="848"/>
      <c r="B1473" s="1184"/>
      <c r="C1473" s="1907" t="s">
        <v>743</v>
      </c>
      <c r="D1473" s="1879" t="s">
        <v>744</v>
      </c>
      <c r="E1473" s="1807">
        <v>6459</v>
      </c>
      <c r="F1473" s="1807">
        <v>0</v>
      </c>
      <c r="G1473" s="1808">
        <f t="shared" si="302"/>
        <v>0</v>
      </c>
    </row>
    <row r="1474" spans="1:7" ht="18" hidden="1" customHeight="1">
      <c r="A1474" s="848"/>
      <c r="B1474" s="1184"/>
      <c r="C1474" s="1907" t="s">
        <v>745</v>
      </c>
      <c r="D1474" s="1879" t="s">
        <v>744</v>
      </c>
      <c r="E1474" s="1807">
        <v>1140</v>
      </c>
      <c r="F1474" s="1807">
        <v>0</v>
      </c>
      <c r="G1474" s="1808">
        <f t="shared" si="302"/>
        <v>0</v>
      </c>
    </row>
    <row r="1475" spans="1:7" ht="18" customHeight="1">
      <c r="A1475" s="848"/>
      <c r="B1475" s="1184"/>
      <c r="C1475" s="1865" t="s">
        <v>647</v>
      </c>
      <c r="D1475" s="1879" t="s">
        <v>525</v>
      </c>
      <c r="E1475" s="1807">
        <v>368043</v>
      </c>
      <c r="F1475" s="1807">
        <v>445887</v>
      </c>
      <c r="G1475" s="1808">
        <f t="shared" si="302"/>
        <v>1.2115078944579845</v>
      </c>
    </row>
    <row r="1476" spans="1:7" ht="18" customHeight="1">
      <c r="A1476" s="848"/>
      <c r="B1476" s="1184"/>
      <c r="C1476" s="1865" t="s">
        <v>591</v>
      </c>
      <c r="D1476" s="1879" t="s">
        <v>525</v>
      </c>
      <c r="E1476" s="1807">
        <v>79339</v>
      </c>
      <c r="F1476" s="1807">
        <v>77453</v>
      </c>
      <c r="G1476" s="1808">
        <f t="shared" si="302"/>
        <v>0.97622858871425156</v>
      </c>
    </row>
    <row r="1477" spans="1:7" ht="18" customHeight="1">
      <c r="A1477" s="848"/>
      <c r="B1477" s="1184"/>
      <c r="C1477" s="1865" t="s">
        <v>592</v>
      </c>
      <c r="D1477" s="1879" t="s">
        <v>525</v>
      </c>
      <c r="E1477" s="1807">
        <v>136344</v>
      </c>
      <c r="F1477" s="1807">
        <v>149772</v>
      </c>
      <c r="G1477" s="1808">
        <f t="shared" si="302"/>
        <v>1.0984861820102094</v>
      </c>
    </row>
    <row r="1478" spans="1:7" ht="18" customHeight="1">
      <c r="A1478" s="848"/>
      <c r="B1478" s="1184"/>
      <c r="C1478" s="1865" t="s">
        <v>648</v>
      </c>
      <c r="D1478" s="1879" t="s">
        <v>527</v>
      </c>
      <c r="E1478" s="1807">
        <v>12526</v>
      </c>
      <c r="F1478" s="1807">
        <v>50208</v>
      </c>
      <c r="G1478" s="1808">
        <f t="shared" si="302"/>
        <v>4.0083027303209322</v>
      </c>
    </row>
    <row r="1479" spans="1:7" ht="18" customHeight="1">
      <c r="A1479" s="848"/>
      <c r="B1479" s="1184"/>
      <c r="C1479" s="1865" t="s">
        <v>594</v>
      </c>
      <c r="D1479" s="1879" t="s">
        <v>527</v>
      </c>
      <c r="E1479" s="1807">
        <v>0</v>
      </c>
      <c r="F1479" s="1807">
        <v>3297</v>
      </c>
      <c r="G1479" s="1808"/>
    </row>
    <row r="1480" spans="1:7" ht="18" customHeight="1">
      <c r="A1480" s="848"/>
      <c r="B1480" s="1184"/>
      <c r="C1480" s="1865" t="s">
        <v>649</v>
      </c>
      <c r="D1480" s="1879" t="s">
        <v>529</v>
      </c>
      <c r="E1480" s="1807">
        <v>64431</v>
      </c>
      <c r="F1480" s="1807">
        <v>93311</v>
      </c>
      <c r="G1480" s="1808">
        <f t="shared" si="302"/>
        <v>1.44823144138691</v>
      </c>
    </row>
    <row r="1481" spans="1:7" ht="18" customHeight="1">
      <c r="A1481" s="848"/>
      <c r="B1481" s="1184"/>
      <c r="C1481" s="1865" t="s">
        <v>595</v>
      </c>
      <c r="D1481" s="1879" t="s">
        <v>529</v>
      </c>
      <c r="E1481" s="1807">
        <v>13433</v>
      </c>
      <c r="F1481" s="1807">
        <v>13113</v>
      </c>
      <c r="G1481" s="1808">
        <f t="shared" si="302"/>
        <v>0.97617806893471304</v>
      </c>
    </row>
    <row r="1482" spans="1:7" ht="18" customHeight="1">
      <c r="A1482" s="848"/>
      <c r="B1482" s="1184"/>
      <c r="C1482" s="1865" t="s">
        <v>596</v>
      </c>
      <c r="D1482" s="1879" t="s">
        <v>529</v>
      </c>
      <c r="E1482" s="1807">
        <v>23082</v>
      </c>
      <c r="F1482" s="1807">
        <v>27653</v>
      </c>
      <c r="G1482" s="1808">
        <f t="shared" si="302"/>
        <v>1.1980330993848021</v>
      </c>
    </row>
    <row r="1483" spans="1:7" ht="18" customHeight="1">
      <c r="A1483" s="848"/>
      <c r="B1483" s="1184"/>
      <c r="C1483" s="1865" t="s">
        <v>650</v>
      </c>
      <c r="D1483" s="1879" t="s">
        <v>531</v>
      </c>
      <c r="E1483" s="1807">
        <v>9325</v>
      </c>
      <c r="F1483" s="1807">
        <v>13503</v>
      </c>
      <c r="G1483" s="1808">
        <f t="shared" si="302"/>
        <v>1.4480428954423592</v>
      </c>
    </row>
    <row r="1484" spans="1:7" ht="18" customHeight="1">
      <c r="A1484" s="848"/>
      <c r="B1484" s="1184"/>
      <c r="C1484" s="1865" t="s">
        <v>597</v>
      </c>
      <c r="D1484" s="1879" t="s">
        <v>531</v>
      </c>
      <c r="E1484" s="1807">
        <v>1943</v>
      </c>
      <c r="F1484" s="1807">
        <v>1897</v>
      </c>
      <c r="G1484" s="1808">
        <f t="shared" si="302"/>
        <v>0.97632527020072057</v>
      </c>
    </row>
    <row r="1485" spans="1:7" ht="18" customHeight="1">
      <c r="A1485" s="848"/>
      <c r="B1485" s="1184"/>
      <c r="C1485" s="1865" t="s">
        <v>598</v>
      </c>
      <c r="D1485" s="1879" t="s">
        <v>531</v>
      </c>
      <c r="E1485" s="1807">
        <v>3340</v>
      </c>
      <c r="F1485" s="1807">
        <v>4000</v>
      </c>
      <c r="G1485" s="1808">
        <f t="shared" si="302"/>
        <v>1.1976047904191616</v>
      </c>
    </row>
    <row r="1486" spans="1:7" ht="18" customHeight="1">
      <c r="A1486" s="848"/>
      <c r="B1486" s="1184"/>
      <c r="C1486" s="1865" t="s">
        <v>726</v>
      </c>
      <c r="D1486" s="1879" t="s">
        <v>533</v>
      </c>
      <c r="E1486" s="1807">
        <v>235997</v>
      </c>
      <c r="F1486" s="1807">
        <v>277646</v>
      </c>
      <c r="G1486" s="1808">
        <f t="shared" si="302"/>
        <v>1.1764810569625885</v>
      </c>
    </row>
    <row r="1487" spans="1:7" ht="18" customHeight="1">
      <c r="A1487" s="848"/>
      <c r="B1487" s="1184"/>
      <c r="C1487" s="1865" t="s">
        <v>600</v>
      </c>
      <c r="D1487" s="1879" t="s">
        <v>533</v>
      </c>
      <c r="E1487" s="1807">
        <v>43123</v>
      </c>
      <c r="F1487" s="1807">
        <v>50892</v>
      </c>
      <c r="G1487" s="1808">
        <f t="shared" si="302"/>
        <v>1.1801590798413839</v>
      </c>
    </row>
    <row r="1488" spans="1:7" ht="18" customHeight="1">
      <c r="A1488" s="848"/>
      <c r="B1488" s="1184"/>
      <c r="C1488" s="1865" t="s">
        <v>651</v>
      </c>
      <c r="D1488" s="1879" t="s">
        <v>538</v>
      </c>
      <c r="E1488" s="1807">
        <v>27849</v>
      </c>
      <c r="F1488" s="1807">
        <v>10658</v>
      </c>
      <c r="G1488" s="1808">
        <f t="shared" si="302"/>
        <v>0.38270673991884807</v>
      </c>
    </row>
    <row r="1489" spans="1:7" ht="18" customHeight="1">
      <c r="A1489" s="848"/>
      <c r="B1489" s="1184"/>
      <c r="C1489" s="1865" t="s">
        <v>604</v>
      </c>
      <c r="D1489" s="1879" t="s">
        <v>538</v>
      </c>
      <c r="E1489" s="1807">
        <v>0</v>
      </c>
      <c r="F1489" s="1807">
        <v>3400</v>
      </c>
      <c r="G1489" s="1808"/>
    </row>
    <row r="1490" spans="1:7" ht="18" customHeight="1">
      <c r="A1490" s="848"/>
      <c r="B1490" s="1184"/>
      <c r="C1490" s="1865" t="s">
        <v>605</v>
      </c>
      <c r="D1490" s="1879" t="s">
        <v>538</v>
      </c>
      <c r="E1490" s="1807">
        <v>4355</v>
      </c>
      <c r="F1490" s="1807">
        <v>1842</v>
      </c>
      <c r="G1490" s="1808">
        <f t="shared" si="302"/>
        <v>0.42296211251435134</v>
      </c>
    </row>
    <row r="1491" spans="1:7" ht="18" customHeight="1">
      <c r="A1491" s="848"/>
      <c r="B1491" s="1184"/>
      <c r="C1491" s="1865" t="s">
        <v>840</v>
      </c>
      <c r="D1491" s="1879" t="s">
        <v>540</v>
      </c>
      <c r="E1491" s="1807">
        <v>4520</v>
      </c>
      <c r="F1491" s="1807">
        <v>1037</v>
      </c>
      <c r="G1491" s="1808">
        <f t="shared" si="302"/>
        <v>0.22942477876106196</v>
      </c>
    </row>
    <row r="1492" spans="1:7" ht="18" customHeight="1">
      <c r="A1492" s="848"/>
      <c r="B1492" s="1184"/>
      <c r="C1492" s="1865" t="s">
        <v>773</v>
      </c>
      <c r="D1492" s="1879" t="s">
        <v>540</v>
      </c>
      <c r="E1492" s="1807">
        <v>843</v>
      </c>
      <c r="F1492" s="1807">
        <v>194</v>
      </c>
      <c r="G1492" s="1808">
        <f t="shared" si="302"/>
        <v>0.23013048635824437</v>
      </c>
    </row>
    <row r="1493" spans="1:7" ht="18" customHeight="1">
      <c r="A1493" s="848"/>
      <c r="B1493" s="1184"/>
      <c r="C1493" s="1865" t="s">
        <v>841</v>
      </c>
      <c r="D1493" s="1879" t="s">
        <v>542</v>
      </c>
      <c r="E1493" s="1807">
        <v>2528</v>
      </c>
      <c r="F1493" s="1807">
        <v>5985</v>
      </c>
      <c r="G1493" s="1808">
        <f t="shared" si="302"/>
        <v>2.3674841772151898</v>
      </c>
    </row>
    <row r="1494" spans="1:7" ht="18" customHeight="1">
      <c r="A1494" s="848"/>
      <c r="B1494" s="1184"/>
      <c r="C1494" s="1865" t="s">
        <v>747</v>
      </c>
      <c r="D1494" s="1879" t="s">
        <v>542</v>
      </c>
      <c r="E1494" s="1807">
        <v>472</v>
      </c>
      <c r="F1494" s="1807">
        <v>1117</v>
      </c>
      <c r="G1494" s="1808">
        <f t="shared" si="302"/>
        <v>2.3665254237288136</v>
      </c>
    </row>
    <row r="1495" spans="1:7" ht="18" hidden="1" customHeight="1">
      <c r="A1495" s="848"/>
      <c r="B1495" s="1184"/>
      <c r="C1495" s="1865" t="s">
        <v>898</v>
      </c>
      <c r="D1495" s="1879" t="s">
        <v>544</v>
      </c>
      <c r="E1495" s="1807">
        <v>126</v>
      </c>
      <c r="F1495" s="1807">
        <v>0</v>
      </c>
      <c r="G1495" s="1808">
        <f t="shared" si="302"/>
        <v>0</v>
      </c>
    </row>
    <row r="1496" spans="1:7" ht="18" hidden="1" customHeight="1">
      <c r="A1496" s="848"/>
      <c r="B1496" s="1184"/>
      <c r="C1496" s="1865" t="s">
        <v>607</v>
      </c>
      <c r="D1496" s="1879" t="s">
        <v>544</v>
      </c>
      <c r="E1496" s="1807">
        <v>24</v>
      </c>
      <c r="F1496" s="1807">
        <v>0</v>
      </c>
      <c r="G1496" s="1808">
        <f t="shared" si="302"/>
        <v>0</v>
      </c>
    </row>
    <row r="1497" spans="1:7" ht="18" customHeight="1">
      <c r="A1497" s="848"/>
      <c r="B1497" s="1184"/>
      <c r="C1497" s="1865" t="s">
        <v>899</v>
      </c>
      <c r="D1497" s="1879" t="s">
        <v>546</v>
      </c>
      <c r="E1497" s="1807">
        <v>632</v>
      </c>
      <c r="F1497" s="1807">
        <v>1517</v>
      </c>
      <c r="G1497" s="1808">
        <f t="shared" si="302"/>
        <v>2.4003164556962027</v>
      </c>
    </row>
    <row r="1498" spans="1:7" ht="18" customHeight="1">
      <c r="A1498" s="848"/>
      <c r="B1498" s="1184"/>
      <c r="C1498" s="1865" t="s">
        <v>749</v>
      </c>
      <c r="D1498" s="1879" t="s">
        <v>546</v>
      </c>
      <c r="E1498" s="1807">
        <v>118</v>
      </c>
      <c r="F1498" s="1807">
        <v>283</v>
      </c>
      <c r="G1498" s="1808">
        <f t="shared" si="302"/>
        <v>2.3983050847457625</v>
      </c>
    </row>
    <row r="1499" spans="1:7" ht="18" customHeight="1">
      <c r="A1499" s="848"/>
      <c r="B1499" s="1184"/>
      <c r="C1499" s="1865" t="s">
        <v>652</v>
      </c>
      <c r="D1499" s="1879" t="s">
        <v>548</v>
      </c>
      <c r="E1499" s="1807">
        <v>617828</v>
      </c>
      <c r="F1499" s="1807">
        <v>637921</v>
      </c>
      <c r="G1499" s="1808">
        <f t="shared" si="302"/>
        <v>1.0325219964132413</v>
      </c>
    </row>
    <row r="1500" spans="1:7" ht="18" customHeight="1">
      <c r="A1500" s="848"/>
      <c r="B1500" s="1184"/>
      <c r="C1500" s="1865" t="s">
        <v>608</v>
      </c>
      <c r="D1500" s="1879" t="s">
        <v>548</v>
      </c>
      <c r="E1500" s="1807">
        <v>0</v>
      </c>
      <c r="F1500" s="1807">
        <v>12201</v>
      </c>
      <c r="G1500" s="1808"/>
    </row>
    <row r="1501" spans="1:7" ht="18" customHeight="1">
      <c r="A1501" s="848"/>
      <c r="B1501" s="1184"/>
      <c r="C1501" s="1865" t="s">
        <v>609</v>
      </c>
      <c r="D1501" s="1879" t="s">
        <v>548</v>
      </c>
      <c r="E1501" s="1807">
        <v>54231</v>
      </c>
      <c r="F1501" s="1807">
        <v>68188</v>
      </c>
      <c r="G1501" s="1808">
        <f t="shared" ref="G1501:G1564" si="308">F1501/E1501</f>
        <v>1.257362025409821</v>
      </c>
    </row>
    <row r="1502" spans="1:7" ht="18" customHeight="1">
      <c r="A1502" s="848"/>
      <c r="B1502" s="1184"/>
      <c r="C1502" s="1881" t="s">
        <v>845</v>
      </c>
      <c r="D1502" s="1882" t="s">
        <v>550</v>
      </c>
      <c r="E1502" s="1807">
        <v>1517</v>
      </c>
      <c r="F1502" s="1807">
        <v>3371</v>
      </c>
      <c r="G1502" s="1808">
        <f t="shared" si="308"/>
        <v>2.2221489782465391</v>
      </c>
    </row>
    <row r="1503" spans="1:7" ht="18" customHeight="1">
      <c r="A1503" s="848"/>
      <c r="B1503" s="1184"/>
      <c r="C1503" s="1881" t="s">
        <v>774</v>
      </c>
      <c r="D1503" s="1882" t="s">
        <v>550</v>
      </c>
      <c r="E1503" s="1807">
        <v>283</v>
      </c>
      <c r="F1503" s="1807">
        <v>629</v>
      </c>
      <c r="G1503" s="1808">
        <f t="shared" si="308"/>
        <v>2.2226148409893991</v>
      </c>
    </row>
    <row r="1504" spans="1:7" ht="18" customHeight="1">
      <c r="A1504" s="848"/>
      <c r="B1504" s="1184"/>
      <c r="C1504" s="1881" t="s">
        <v>728</v>
      </c>
      <c r="D1504" s="1882" t="s">
        <v>701</v>
      </c>
      <c r="E1504" s="1807">
        <v>2955</v>
      </c>
      <c r="F1504" s="1807">
        <v>412</v>
      </c>
      <c r="G1504" s="1808">
        <f t="shared" si="308"/>
        <v>0.13942470389170897</v>
      </c>
    </row>
    <row r="1505" spans="1:7" ht="18" customHeight="1">
      <c r="A1505" s="848"/>
      <c r="B1505" s="1184"/>
      <c r="C1505" s="1881" t="s">
        <v>700</v>
      </c>
      <c r="D1505" s="1908" t="s">
        <v>701</v>
      </c>
      <c r="E1505" s="1807">
        <v>521</v>
      </c>
      <c r="F1505" s="1807">
        <v>73</v>
      </c>
      <c r="G1505" s="1808">
        <f t="shared" si="308"/>
        <v>0.14011516314779271</v>
      </c>
    </row>
    <row r="1506" spans="1:7" ht="18" customHeight="1">
      <c r="A1506" s="848"/>
      <c r="B1506" s="1184"/>
      <c r="C1506" s="1881" t="s">
        <v>729</v>
      </c>
      <c r="D1506" s="1909" t="s">
        <v>552</v>
      </c>
      <c r="E1506" s="1807">
        <v>73432</v>
      </c>
      <c r="F1506" s="1807">
        <v>63824</v>
      </c>
      <c r="G1506" s="1808">
        <f t="shared" si="308"/>
        <v>0.86915786033336961</v>
      </c>
    </row>
    <row r="1507" spans="1:7" ht="18" customHeight="1">
      <c r="A1507" s="848"/>
      <c r="B1507" s="1184"/>
      <c r="C1507" s="1881" t="s">
        <v>611</v>
      </c>
      <c r="D1507" s="1909" t="s">
        <v>552</v>
      </c>
      <c r="E1507" s="1807">
        <v>7168</v>
      </c>
      <c r="F1507" s="1807">
        <v>5376</v>
      </c>
      <c r="G1507" s="1808">
        <f t="shared" si="308"/>
        <v>0.75</v>
      </c>
    </row>
    <row r="1508" spans="1:7" ht="24.75" hidden="1" customHeight="1">
      <c r="A1508" s="848"/>
      <c r="B1508" s="1184"/>
      <c r="C1508" s="1881" t="s">
        <v>900</v>
      </c>
      <c r="D1508" s="1033" t="s">
        <v>554</v>
      </c>
      <c r="E1508" s="1807">
        <v>1985</v>
      </c>
      <c r="F1508" s="1807">
        <v>0</v>
      </c>
      <c r="G1508" s="1808">
        <f t="shared" si="308"/>
        <v>0</v>
      </c>
    </row>
    <row r="1509" spans="1:7" ht="24.75" hidden="1" customHeight="1">
      <c r="A1509" s="848"/>
      <c r="B1509" s="1184"/>
      <c r="C1509" s="1881" t="s">
        <v>753</v>
      </c>
      <c r="D1509" s="1033" t="s">
        <v>554</v>
      </c>
      <c r="E1509" s="1807">
        <v>370</v>
      </c>
      <c r="F1509" s="1807">
        <v>0</v>
      </c>
      <c r="G1509" s="1808">
        <f t="shared" si="308"/>
        <v>0</v>
      </c>
    </row>
    <row r="1510" spans="1:7" ht="18" customHeight="1">
      <c r="A1510" s="848"/>
      <c r="B1510" s="1184"/>
      <c r="C1510" s="1881" t="s">
        <v>653</v>
      </c>
      <c r="D1510" s="1058" t="s">
        <v>556</v>
      </c>
      <c r="E1510" s="1807">
        <v>12887</v>
      </c>
      <c r="F1510" s="1807">
        <v>15921</v>
      </c>
      <c r="G1510" s="1808">
        <f t="shared" si="308"/>
        <v>1.235431054551098</v>
      </c>
    </row>
    <row r="1511" spans="1:7" ht="18" customHeight="1">
      <c r="A1511" s="848"/>
      <c r="B1511" s="1184"/>
      <c r="C1511" s="1865" t="s">
        <v>612</v>
      </c>
      <c r="D1511" s="1058" t="s">
        <v>556</v>
      </c>
      <c r="E1511" s="1807">
        <v>850</v>
      </c>
      <c r="F1511" s="1807">
        <v>757</v>
      </c>
      <c r="G1511" s="1808">
        <f t="shared" si="308"/>
        <v>0.89058823529411768</v>
      </c>
    </row>
    <row r="1512" spans="1:7" ht="18" customHeight="1">
      <c r="A1512" s="848"/>
      <c r="B1512" s="1184"/>
      <c r="C1512" s="1865" t="s">
        <v>613</v>
      </c>
      <c r="D1512" s="1058" t="s">
        <v>556</v>
      </c>
      <c r="E1512" s="1807">
        <v>2131</v>
      </c>
      <c r="F1512" s="1807">
        <v>2681</v>
      </c>
      <c r="G1512" s="1808">
        <f t="shared" si="308"/>
        <v>1.2580947911778508</v>
      </c>
    </row>
    <row r="1513" spans="1:7" ht="18" customHeight="1">
      <c r="A1513" s="848"/>
      <c r="B1513" s="1184"/>
      <c r="C1513" s="1865" t="s">
        <v>702</v>
      </c>
      <c r="D1513" s="1058" t="s">
        <v>684</v>
      </c>
      <c r="E1513" s="1807">
        <v>7274</v>
      </c>
      <c r="F1513" s="1807">
        <v>11050</v>
      </c>
      <c r="G1513" s="1808">
        <f t="shared" si="308"/>
        <v>1.5191091558977179</v>
      </c>
    </row>
    <row r="1514" spans="1:7" ht="18" customHeight="1">
      <c r="A1514" s="848"/>
      <c r="B1514" s="1184"/>
      <c r="C1514" s="1865" t="s">
        <v>703</v>
      </c>
      <c r="D1514" s="1058" t="s">
        <v>684</v>
      </c>
      <c r="E1514" s="1807">
        <v>1284</v>
      </c>
      <c r="F1514" s="1807">
        <v>1950</v>
      </c>
      <c r="G1514" s="1808">
        <f t="shared" si="308"/>
        <v>1.5186915887850467</v>
      </c>
    </row>
    <row r="1515" spans="1:7" ht="18" customHeight="1">
      <c r="A1515" s="848"/>
      <c r="B1515" s="1184"/>
      <c r="C1515" s="1899" t="s">
        <v>901</v>
      </c>
      <c r="D1515" s="1285" t="s">
        <v>560</v>
      </c>
      <c r="E1515" s="1807">
        <v>3752</v>
      </c>
      <c r="F1515" s="1807">
        <v>6033</v>
      </c>
      <c r="G1515" s="1808">
        <f t="shared" si="308"/>
        <v>1.6079424307036247</v>
      </c>
    </row>
    <row r="1516" spans="1:7" ht="18" customHeight="1">
      <c r="A1516" s="848"/>
      <c r="B1516" s="1184"/>
      <c r="C1516" s="1794" t="s">
        <v>902</v>
      </c>
      <c r="D1516" s="1285" t="s">
        <v>560</v>
      </c>
      <c r="E1516" s="1807">
        <v>700</v>
      </c>
      <c r="F1516" s="1807">
        <v>1125</v>
      </c>
      <c r="G1516" s="1808">
        <f t="shared" si="308"/>
        <v>1.6071428571428572</v>
      </c>
    </row>
    <row r="1517" spans="1:7" ht="18" customHeight="1">
      <c r="A1517" s="848"/>
      <c r="B1517" s="1184"/>
      <c r="C1517" s="1794" t="s">
        <v>903</v>
      </c>
      <c r="D1517" s="1285" t="s">
        <v>562</v>
      </c>
      <c r="E1517" s="1807">
        <v>792</v>
      </c>
      <c r="F1517" s="1807">
        <v>843</v>
      </c>
      <c r="G1517" s="1808">
        <f t="shared" si="308"/>
        <v>1.0643939393939394</v>
      </c>
    </row>
    <row r="1518" spans="1:7" ht="18" customHeight="1">
      <c r="A1518" s="848"/>
      <c r="B1518" s="1184"/>
      <c r="C1518" s="1794" t="s">
        <v>904</v>
      </c>
      <c r="D1518" s="1285" t="s">
        <v>562</v>
      </c>
      <c r="E1518" s="1807">
        <v>148</v>
      </c>
      <c r="F1518" s="1807">
        <v>157</v>
      </c>
      <c r="G1518" s="1808">
        <f t="shared" si="308"/>
        <v>1.0608108108108107</v>
      </c>
    </row>
    <row r="1519" spans="1:7" ht="18" customHeight="1">
      <c r="A1519" s="848"/>
      <c r="B1519" s="1184"/>
      <c r="C1519" s="1794" t="s">
        <v>905</v>
      </c>
      <c r="D1519" s="1285" t="s">
        <v>566</v>
      </c>
      <c r="E1519" s="1807">
        <v>592</v>
      </c>
      <c r="F1519" s="1807">
        <v>843</v>
      </c>
      <c r="G1519" s="1808">
        <f t="shared" si="308"/>
        <v>1.4239864864864864</v>
      </c>
    </row>
    <row r="1520" spans="1:7" ht="18" customHeight="1">
      <c r="A1520" s="848"/>
      <c r="B1520" s="1184"/>
      <c r="C1520" s="1794" t="s">
        <v>755</v>
      </c>
      <c r="D1520" s="1285" t="s">
        <v>566</v>
      </c>
      <c r="E1520" s="1190">
        <v>111</v>
      </c>
      <c r="F1520" s="1190">
        <v>157</v>
      </c>
      <c r="G1520" s="1191">
        <f t="shared" si="308"/>
        <v>1.4144144144144144</v>
      </c>
    </row>
    <row r="1521" spans="1:7" ht="17.100000000000001" customHeight="1">
      <c r="A1521" s="848"/>
      <c r="B1521" s="1184"/>
      <c r="C1521" s="999"/>
      <c r="D1521" s="999"/>
      <c r="E1521" s="882"/>
      <c r="F1521" s="882"/>
      <c r="G1521" s="883"/>
    </row>
    <row r="1522" spans="1:7" ht="17.100000000000001" customHeight="1">
      <c r="A1522" s="848"/>
      <c r="B1522" s="1184"/>
      <c r="C1522" s="2870" t="s">
        <v>574</v>
      </c>
      <c r="D1522" s="2870"/>
      <c r="E1522" s="1821">
        <f>E1523</f>
        <v>896427</v>
      </c>
      <c r="F1522" s="1821">
        <f t="shared" ref="F1522" si="309">F1523</f>
        <v>680000</v>
      </c>
      <c r="G1522" s="1822">
        <f t="shared" si="308"/>
        <v>0.75856706681079444</v>
      </c>
    </row>
    <row r="1523" spans="1:7" ht="17.100000000000001" customHeight="1">
      <c r="A1523" s="848"/>
      <c r="B1523" s="1184"/>
      <c r="C1523" s="2858" t="s">
        <v>689</v>
      </c>
      <c r="D1523" s="2858"/>
      <c r="E1523" s="1765">
        <f t="shared" ref="E1523:F1523" si="310">SUM(E1524:E1527)</f>
        <v>896427</v>
      </c>
      <c r="F1523" s="1765">
        <f t="shared" si="310"/>
        <v>680000</v>
      </c>
      <c r="G1523" s="1838">
        <f t="shared" si="308"/>
        <v>0.75856706681079444</v>
      </c>
    </row>
    <row r="1524" spans="1:7" ht="54" customHeight="1">
      <c r="A1524" s="848"/>
      <c r="B1524" s="1184"/>
      <c r="C1524" s="1910" t="s">
        <v>658</v>
      </c>
      <c r="D1524" s="1879" t="s">
        <v>662</v>
      </c>
      <c r="E1524" s="1887">
        <v>709166</v>
      </c>
      <c r="F1524" s="1887">
        <v>544262</v>
      </c>
      <c r="G1524" s="1888">
        <f t="shared" si="308"/>
        <v>0.76746770149725174</v>
      </c>
    </row>
    <row r="1525" spans="1:7" ht="59.25" customHeight="1" thickBot="1">
      <c r="A1525" s="848"/>
      <c r="B1525" s="1184"/>
      <c r="C1525" s="1881" t="s">
        <v>659</v>
      </c>
      <c r="D1525" s="1911" t="s">
        <v>660</v>
      </c>
      <c r="E1525" s="1912">
        <v>176234</v>
      </c>
      <c r="F1525" s="1912">
        <v>135738</v>
      </c>
      <c r="G1525" s="1913">
        <f t="shared" si="308"/>
        <v>0.77021460104179673</v>
      </c>
    </row>
    <row r="1526" spans="1:7" ht="52.5" hidden="1" customHeight="1">
      <c r="A1526" s="848"/>
      <c r="B1526" s="1184"/>
      <c r="C1526" s="1914" t="s">
        <v>777</v>
      </c>
      <c r="D1526" s="1915" t="s">
        <v>584</v>
      </c>
      <c r="E1526" s="1807">
        <v>10832</v>
      </c>
      <c r="F1526" s="1807">
        <v>0</v>
      </c>
      <c r="G1526" s="1808">
        <f t="shared" si="308"/>
        <v>0</v>
      </c>
    </row>
    <row r="1527" spans="1:7" ht="29.25" hidden="1" customHeight="1" thickBot="1">
      <c r="A1527" s="848"/>
      <c r="B1527" s="1184"/>
      <c r="C1527" s="1400" t="s">
        <v>433</v>
      </c>
      <c r="D1527" s="1370" t="s">
        <v>761</v>
      </c>
      <c r="E1527" s="970">
        <v>195</v>
      </c>
      <c r="F1527" s="970">
        <v>0</v>
      </c>
      <c r="G1527" s="1836">
        <f t="shared" si="308"/>
        <v>0</v>
      </c>
    </row>
    <row r="1528" spans="1:7" ht="17.100000000000001" customHeight="1" thickBot="1">
      <c r="A1528" s="842" t="s">
        <v>74</v>
      </c>
      <c r="B1528" s="843"/>
      <c r="C1528" s="1916"/>
      <c r="D1528" s="1684" t="s">
        <v>906</v>
      </c>
      <c r="E1528" s="1685">
        <f>E1529+E1539+E1624</f>
        <v>43595322</v>
      </c>
      <c r="F1528" s="846">
        <f t="shared" ref="F1528" si="311">F1529+F1539+F1624</f>
        <v>44471613</v>
      </c>
      <c r="G1528" s="847">
        <f t="shared" si="308"/>
        <v>1.0201005740937066</v>
      </c>
    </row>
    <row r="1529" spans="1:7" ht="17.100000000000001" customHeight="1" thickBot="1">
      <c r="A1529" s="848"/>
      <c r="B1529" s="1072" t="s">
        <v>75</v>
      </c>
      <c r="C1529" s="1403"/>
      <c r="D1529" s="1687" t="s">
        <v>907</v>
      </c>
      <c r="E1529" s="1688">
        <f>E1530+E1536</f>
        <v>2788174</v>
      </c>
      <c r="F1529" s="1688">
        <f t="shared" ref="F1529" si="312">F1530+F1536</f>
        <v>2403997</v>
      </c>
      <c r="G1529" s="1076">
        <f t="shared" si="308"/>
        <v>0.86221197098889812</v>
      </c>
    </row>
    <row r="1530" spans="1:7" ht="17.100000000000001" customHeight="1">
      <c r="A1530" s="848"/>
      <c r="B1530" s="2806"/>
      <c r="C1530" s="2859" t="s">
        <v>521</v>
      </c>
      <c r="D1530" s="2860"/>
      <c r="E1530" s="1689">
        <f t="shared" ref="E1530:F1530" si="313">E1531</f>
        <v>2288174</v>
      </c>
      <c r="F1530" s="1635">
        <f t="shared" si="313"/>
        <v>2403997</v>
      </c>
      <c r="G1530" s="855">
        <f t="shared" si="308"/>
        <v>1.0506180911067078</v>
      </c>
    </row>
    <row r="1531" spans="1:7" ht="17.100000000000001" customHeight="1">
      <c r="A1531" s="848"/>
      <c r="B1531" s="2806"/>
      <c r="C1531" s="2861" t="s">
        <v>618</v>
      </c>
      <c r="D1531" s="2862"/>
      <c r="E1531" s="1917">
        <f t="shared" ref="E1531:F1531" si="314">SUM(E1532:E1534)</f>
        <v>2288174</v>
      </c>
      <c r="F1531" s="1918">
        <f t="shared" si="314"/>
        <v>2403997</v>
      </c>
      <c r="G1531" s="1919">
        <f t="shared" si="308"/>
        <v>1.0506180911067078</v>
      </c>
    </row>
    <row r="1532" spans="1:7" ht="46.5" customHeight="1">
      <c r="A1532" s="848"/>
      <c r="B1532" s="2806"/>
      <c r="C1532" s="1920" t="s">
        <v>633</v>
      </c>
      <c r="D1532" s="1921" t="s">
        <v>634</v>
      </c>
      <c r="E1532" s="1917">
        <v>1127991</v>
      </c>
      <c r="F1532" s="1918">
        <v>1127991</v>
      </c>
      <c r="G1532" s="1919">
        <f t="shared" si="308"/>
        <v>1</v>
      </c>
    </row>
    <row r="1533" spans="1:7" ht="30" customHeight="1">
      <c r="A1533" s="848"/>
      <c r="B1533" s="860"/>
      <c r="C1533" s="1920" t="s">
        <v>908</v>
      </c>
      <c r="D1533" s="1921" t="s">
        <v>909</v>
      </c>
      <c r="E1533" s="1917">
        <v>82223</v>
      </c>
      <c r="F1533" s="1918">
        <v>97778</v>
      </c>
      <c r="G1533" s="1919">
        <f t="shared" si="308"/>
        <v>1.1891806428858105</v>
      </c>
    </row>
    <row r="1534" spans="1:7" ht="32.25" customHeight="1" thickBot="1">
      <c r="A1534" s="848"/>
      <c r="B1534" s="860"/>
      <c r="C1534" s="1922" t="s">
        <v>910</v>
      </c>
      <c r="D1534" s="1923" t="s">
        <v>911</v>
      </c>
      <c r="E1534" s="1924">
        <v>1077960</v>
      </c>
      <c r="F1534" s="1925">
        <v>1178228</v>
      </c>
      <c r="G1534" s="1926">
        <f t="shared" si="308"/>
        <v>1.0930164384578278</v>
      </c>
    </row>
    <row r="1535" spans="1:7" ht="17.25" hidden="1" customHeight="1">
      <c r="A1535" s="848"/>
      <c r="B1535" s="860"/>
      <c r="C1535" s="1927"/>
      <c r="D1535" s="1928"/>
      <c r="E1535" s="1917"/>
      <c r="F1535" s="1917"/>
      <c r="G1535" s="1919"/>
    </row>
    <row r="1536" spans="1:7" ht="17.25" hidden="1" customHeight="1">
      <c r="A1536" s="848"/>
      <c r="B1536" s="860"/>
      <c r="C1536" s="2863" t="s">
        <v>574</v>
      </c>
      <c r="D1536" s="2864"/>
      <c r="E1536" s="1689">
        <f>E1537</f>
        <v>500000</v>
      </c>
      <c r="F1536" s="854">
        <f t="shared" ref="F1536:F1537" si="315">F1537</f>
        <v>0</v>
      </c>
      <c r="G1536" s="855">
        <f t="shared" si="308"/>
        <v>0</v>
      </c>
    </row>
    <row r="1537" spans="1:7" ht="18" hidden="1" customHeight="1">
      <c r="A1537" s="848"/>
      <c r="B1537" s="860"/>
      <c r="C1537" s="2865" t="s">
        <v>689</v>
      </c>
      <c r="D1537" s="2866"/>
      <c r="E1537" s="1924">
        <f>E1538</f>
        <v>500000</v>
      </c>
      <c r="F1537" s="1924">
        <f t="shared" si="315"/>
        <v>0</v>
      </c>
      <c r="G1537" s="1926">
        <f t="shared" si="308"/>
        <v>0</v>
      </c>
    </row>
    <row r="1538" spans="1:7" ht="51.75" hidden="1" customHeight="1" thickBot="1">
      <c r="A1538" s="848"/>
      <c r="B1538" s="860"/>
      <c r="C1538" s="1929" t="s">
        <v>912</v>
      </c>
      <c r="D1538" s="1930" t="s">
        <v>913</v>
      </c>
      <c r="E1538" s="1931">
        <v>500000</v>
      </c>
      <c r="F1538" s="1932">
        <v>0</v>
      </c>
      <c r="G1538" s="1933">
        <f t="shared" si="308"/>
        <v>0</v>
      </c>
    </row>
    <row r="1539" spans="1:7" ht="17.100000000000001" customHeight="1" thickBot="1">
      <c r="A1539" s="848"/>
      <c r="B1539" s="1072" t="s">
        <v>914</v>
      </c>
      <c r="C1539" s="1073"/>
      <c r="D1539" s="1074" t="s">
        <v>915</v>
      </c>
      <c r="E1539" s="1075">
        <f>E1540+E1614</f>
        <v>30767321</v>
      </c>
      <c r="F1539" s="1075">
        <f t="shared" ref="F1539" si="316">F1540+F1614</f>
        <v>31222621</v>
      </c>
      <c r="G1539" s="1076">
        <f t="shared" si="308"/>
        <v>1.0147981684853224</v>
      </c>
    </row>
    <row r="1540" spans="1:7" ht="17.100000000000001" customHeight="1">
      <c r="A1540" s="848"/>
      <c r="B1540" s="860"/>
      <c r="C1540" s="2802" t="s">
        <v>521</v>
      </c>
      <c r="D1540" s="2802"/>
      <c r="E1540" s="1600">
        <f t="shared" ref="E1540:F1540" si="317">E1541+E1570+E1574</f>
        <v>30525321</v>
      </c>
      <c r="F1540" s="1600">
        <f t="shared" si="317"/>
        <v>30672621</v>
      </c>
      <c r="G1540" s="855">
        <f t="shared" si="308"/>
        <v>1.0048255020807153</v>
      </c>
    </row>
    <row r="1541" spans="1:7" ht="17.100000000000001" customHeight="1">
      <c r="A1541" s="848"/>
      <c r="B1541" s="860"/>
      <c r="C1541" s="2831" t="s">
        <v>522</v>
      </c>
      <c r="D1541" s="2831"/>
      <c r="E1541" s="1934">
        <f t="shared" ref="E1541:F1541" si="318">E1542+E1549</f>
        <v>10285231</v>
      </c>
      <c r="F1541" s="1934">
        <f t="shared" si="318"/>
        <v>10045899</v>
      </c>
      <c r="G1541" s="1926">
        <f t="shared" si="308"/>
        <v>0.97673051776863351</v>
      </c>
    </row>
    <row r="1542" spans="1:7" ht="17.100000000000001" customHeight="1">
      <c r="A1542" s="848"/>
      <c r="B1542" s="860"/>
      <c r="C1542" s="2855" t="s">
        <v>523</v>
      </c>
      <c r="D1542" s="2855"/>
      <c r="E1542" s="1935">
        <f t="shared" ref="E1542:F1542" si="319">SUM(E1543:E1547)</f>
        <v>8295303</v>
      </c>
      <c r="F1542" s="1935">
        <f t="shared" si="319"/>
        <v>8030152</v>
      </c>
      <c r="G1542" s="1936">
        <f t="shared" si="308"/>
        <v>0.96803600784685018</v>
      </c>
    </row>
    <row r="1543" spans="1:7" ht="17.100000000000001" customHeight="1">
      <c r="A1543" s="848"/>
      <c r="B1543" s="860"/>
      <c r="C1543" s="1057" t="s">
        <v>524</v>
      </c>
      <c r="D1543" s="1058" t="s">
        <v>525</v>
      </c>
      <c r="E1543" s="1567">
        <v>6544031</v>
      </c>
      <c r="F1543" s="1567">
        <v>6297980</v>
      </c>
      <c r="G1543" s="1191">
        <f t="shared" si="308"/>
        <v>0.96240069767395664</v>
      </c>
    </row>
    <row r="1544" spans="1:7" ht="17.100000000000001" customHeight="1">
      <c r="A1544" s="848"/>
      <c r="B1544" s="860"/>
      <c r="C1544" s="1937" t="s">
        <v>526</v>
      </c>
      <c r="D1544" s="1938" t="s">
        <v>527</v>
      </c>
      <c r="E1544" s="1567">
        <v>430073</v>
      </c>
      <c r="F1544" s="1567">
        <v>440137</v>
      </c>
      <c r="G1544" s="1191">
        <f t="shared" si="308"/>
        <v>1.0234006784894658</v>
      </c>
    </row>
    <row r="1545" spans="1:7" ht="17.100000000000001" customHeight="1">
      <c r="A1545" s="848"/>
      <c r="B1545" s="860"/>
      <c r="C1545" s="1937" t="s">
        <v>528</v>
      </c>
      <c r="D1545" s="1938" t="s">
        <v>529</v>
      </c>
      <c r="E1545" s="1567">
        <v>1145858</v>
      </c>
      <c r="F1545" s="1567">
        <v>1117523</v>
      </c>
      <c r="G1545" s="1191">
        <f t="shared" si="308"/>
        <v>0.97527180505786926</v>
      </c>
    </row>
    <row r="1546" spans="1:7" ht="17.100000000000001" customHeight="1">
      <c r="A1546" s="848"/>
      <c r="B1546" s="860"/>
      <c r="C1546" s="1937" t="s">
        <v>530</v>
      </c>
      <c r="D1546" s="1938" t="s">
        <v>531</v>
      </c>
      <c r="E1546" s="1567">
        <v>164101</v>
      </c>
      <c r="F1546" s="1567">
        <v>159272</v>
      </c>
      <c r="G1546" s="1191">
        <f t="shared" si="308"/>
        <v>0.97057300077391362</v>
      </c>
    </row>
    <row r="1547" spans="1:7" ht="17.100000000000001" customHeight="1">
      <c r="A1547" s="848"/>
      <c r="B1547" s="860"/>
      <c r="C1547" s="1937" t="s">
        <v>532</v>
      </c>
      <c r="D1547" s="1938" t="s">
        <v>533</v>
      </c>
      <c r="E1547" s="1567">
        <v>11240</v>
      </c>
      <c r="F1547" s="1567">
        <v>15240</v>
      </c>
      <c r="G1547" s="1191">
        <f t="shared" si="308"/>
        <v>1.3558718861209964</v>
      </c>
    </row>
    <row r="1548" spans="1:7" ht="17.100000000000001" customHeight="1">
      <c r="A1548" s="848"/>
      <c r="B1548" s="860"/>
      <c r="C1548" s="999"/>
      <c r="D1548" s="999"/>
      <c r="E1548" s="882"/>
      <c r="F1548" s="882"/>
      <c r="G1548" s="883"/>
    </row>
    <row r="1549" spans="1:7" ht="17.100000000000001" customHeight="1">
      <c r="A1549" s="848"/>
      <c r="B1549" s="860"/>
      <c r="C1549" s="2856" t="s">
        <v>534</v>
      </c>
      <c r="D1549" s="2856"/>
      <c r="E1549" s="1939">
        <f t="shared" ref="E1549:F1549" si="320">SUM(E1550:E1568)</f>
        <v>1989928</v>
      </c>
      <c r="F1549" s="1939">
        <f t="shared" si="320"/>
        <v>2015747</v>
      </c>
      <c r="G1549" s="1940">
        <f t="shared" si="308"/>
        <v>1.0129748413007909</v>
      </c>
    </row>
    <row r="1550" spans="1:7" ht="17.100000000000001" customHeight="1">
      <c r="A1550" s="848"/>
      <c r="B1550" s="860"/>
      <c r="C1550" s="1937" t="s">
        <v>535</v>
      </c>
      <c r="D1550" s="1938" t="s">
        <v>536</v>
      </c>
      <c r="E1550" s="1941">
        <v>6000</v>
      </c>
      <c r="F1550" s="1941">
        <v>6000</v>
      </c>
      <c r="G1550" s="1942">
        <f t="shared" si="308"/>
        <v>1</v>
      </c>
    </row>
    <row r="1551" spans="1:7" ht="17.100000000000001" customHeight="1">
      <c r="A1551" s="848"/>
      <c r="B1551" s="860"/>
      <c r="C1551" s="1937" t="s">
        <v>537</v>
      </c>
      <c r="D1551" s="1938" t="s">
        <v>538</v>
      </c>
      <c r="E1551" s="1941">
        <v>215300</v>
      </c>
      <c r="F1551" s="1941">
        <v>261800</v>
      </c>
      <c r="G1551" s="1942">
        <f t="shared" si="308"/>
        <v>1.2159777055271714</v>
      </c>
    </row>
    <row r="1552" spans="1:7" ht="17.100000000000001" customHeight="1">
      <c r="A1552" s="848"/>
      <c r="B1552" s="860"/>
      <c r="C1552" s="1937" t="s">
        <v>539</v>
      </c>
      <c r="D1552" s="1938" t="s">
        <v>540</v>
      </c>
      <c r="E1552" s="1941">
        <v>6000</v>
      </c>
      <c r="F1552" s="1941">
        <v>6000</v>
      </c>
      <c r="G1552" s="1942">
        <f t="shared" si="308"/>
        <v>1</v>
      </c>
    </row>
    <row r="1553" spans="1:7" ht="17.100000000000001" customHeight="1">
      <c r="A1553" s="848"/>
      <c r="B1553" s="860"/>
      <c r="C1553" s="1937" t="s">
        <v>541</v>
      </c>
      <c r="D1553" s="1938" t="s">
        <v>542</v>
      </c>
      <c r="E1553" s="1941">
        <v>214700</v>
      </c>
      <c r="F1553" s="1941">
        <v>138200</v>
      </c>
      <c r="G1553" s="1942">
        <f t="shared" si="308"/>
        <v>0.64368886818816951</v>
      </c>
    </row>
    <row r="1554" spans="1:7" ht="17.100000000000001" customHeight="1">
      <c r="A1554" s="848"/>
      <c r="B1554" s="860"/>
      <c r="C1554" s="1937" t="s">
        <v>543</v>
      </c>
      <c r="D1554" s="1938" t="s">
        <v>544</v>
      </c>
      <c r="E1554" s="1941">
        <v>78580</v>
      </c>
      <c r="F1554" s="1941">
        <v>70250</v>
      </c>
      <c r="G1554" s="1942">
        <f t="shared" si="308"/>
        <v>0.89399338254008653</v>
      </c>
    </row>
    <row r="1555" spans="1:7" ht="17.100000000000001" customHeight="1">
      <c r="A1555" s="848"/>
      <c r="B1555" s="860"/>
      <c r="C1555" s="1937" t="s">
        <v>545</v>
      </c>
      <c r="D1555" s="1938" t="s">
        <v>546</v>
      </c>
      <c r="E1555" s="1941">
        <v>6965</v>
      </c>
      <c r="F1555" s="1941">
        <v>4631</v>
      </c>
      <c r="G1555" s="1942">
        <f t="shared" si="308"/>
        <v>0.66489590811198851</v>
      </c>
    </row>
    <row r="1556" spans="1:7" ht="17.100000000000001" customHeight="1">
      <c r="A1556" s="848"/>
      <c r="B1556" s="860"/>
      <c r="C1556" s="1937" t="s">
        <v>547</v>
      </c>
      <c r="D1556" s="1938" t="s">
        <v>548</v>
      </c>
      <c r="E1556" s="1941">
        <v>637434</v>
      </c>
      <c r="F1556" s="1941">
        <v>663653</v>
      </c>
      <c r="G1556" s="1942">
        <f t="shared" si="308"/>
        <v>1.0411321015195298</v>
      </c>
    </row>
    <row r="1557" spans="1:7" ht="16.5" customHeight="1">
      <c r="A1557" s="848"/>
      <c r="B1557" s="860"/>
      <c r="C1557" s="1937" t="s">
        <v>549</v>
      </c>
      <c r="D1557" s="1938" t="s">
        <v>550</v>
      </c>
      <c r="E1557" s="1941">
        <v>24814</v>
      </c>
      <c r="F1557" s="1941">
        <v>28300</v>
      </c>
      <c r="G1557" s="1942">
        <f t="shared" si="308"/>
        <v>1.1404852099621181</v>
      </c>
    </row>
    <row r="1558" spans="1:7" ht="16.5" customHeight="1">
      <c r="A1558" s="848"/>
      <c r="B1558" s="860"/>
      <c r="C1558" s="1937" t="s">
        <v>740</v>
      </c>
      <c r="D1558" s="1938" t="s">
        <v>701</v>
      </c>
      <c r="E1558" s="1941">
        <v>1500</v>
      </c>
      <c r="F1558" s="1941">
        <v>1200</v>
      </c>
      <c r="G1558" s="1942">
        <f t="shared" si="308"/>
        <v>0.8</v>
      </c>
    </row>
    <row r="1559" spans="1:7" ht="16.5" customHeight="1">
      <c r="A1559" s="848"/>
      <c r="B1559" s="860"/>
      <c r="C1559" s="1937" t="s">
        <v>551</v>
      </c>
      <c r="D1559" s="1938" t="s">
        <v>552</v>
      </c>
      <c r="E1559" s="1941">
        <v>11700</v>
      </c>
      <c r="F1559" s="1941">
        <v>6000</v>
      </c>
      <c r="G1559" s="1942">
        <f t="shared" si="308"/>
        <v>0.51282051282051277</v>
      </c>
    </row>
    <row r="1560" spans="1:7" ht="26.25" customHeight="1">
      <c r="A1560" s="848"/>
      <c r="B1560" s="860"/>
      <c r="C1560" s="1943" t="s">
        <v>553</v>
      </c>
      <c r="D1560" s="1944" t="s">
        <v>554</v>
      </c>
      <c r="E1560" s="1941">
        <v>153350</v>
      </c>
      <c r="F1560" s="1941">
        <v>174500</v>
      </c>
      <c r="G1560" s="1942">
        <f t="shared" si="308"/>
        <v>1.1379197913270296</v>
      </c>
    </row>
    <row r="1561" spans="1:7" ht="17.100000000000001" customHeight="1">
      <c r="A1561" s="848"/>
      <c r="B1561" s="860"/>
      <c r="C1561" s="1945" t="s">
        <v>555</v>
      </c>
      <c r="D1561" s="1946" t="s">
        <v>556</v>
      </c>
      <c r="E1561" s="1941">
        <v>43500</v>
      </c>
      <c r="F1561" s="1941">
        <v>42000</v>
      </c>
      <c r="G1561" s="1942">
        <f t="shared" si="308"/>
        <v>0.96551724137931039</v>
      </c>
    </row>
    <row r="1562" spans="1:7" ht="17.100000000000001" customHeight="1">
      <c r="A1562" s="848"/>
      <c r="B1562" s="860"/>
      <c r="C1562" s="1057" t="s">
        <v>683</v>
      </c>
      <c r="D1562" s="1058" t="s">
        <v>684</v>
      </c>
      <c r="E1562" s="1941">
        <v>2000</v>
      </c>
      <c r="F1562" s="1941">
        <v>2000</v>
      </c>
      <c r="G1562" s="1942">
        <f t="shared" si="308"/>
        <v>1</v>
      </c>
    </row>
    <row r="1563" spans="1:7" ht="17.100000000000001" customHeight="1">
      <c r="A1563" s="848"/>
      <c r="B1563" s="860"/>
      <c r="C1563" s="1937" t="s">
        <v>557</v>
      </c>
      <c r="D1563" s="1938" t="s">
        <v>558</v>
      </c>
      <c r="E1563" s="1941">
        <v>18100</v>
      </c>
      <c r="F1563" s="1941">
        <v>18100</v>
      </c>
      <c r="G1563" s="1942">
        <f t="shared" si="308"/>
        <v>1</v>
      </c>
    </row>
    <row r="1564" spans="1:7" ht="17.100000000000001" customHeight="1">
      <c r="A1564" s="848"/>
      <c r="B1564" s="860"/>
      <c r="C1564" s="1937" t="s">
        <v>559</v>
      </c>
      <c r="D1564" s="1938" t="s">
        <v>560</v>
      </c>
      <c r="E1564" s="1941">
        <v>410193</v>
      </c>
      <c r="F1564" s="1941">
        <v>404233</v>
      </c>
      <c r="G1564" s="1942">
        <f t="shared" si="308"/>
        <v>0.98547025424617196</v>
      </c>
    </row>
    <row r="1565" spans="1:7" ht="17.100000000000001" customHeight="1">
      <c r="A1565" s="848"/>
      <c r="B1565" s="860"/>
      <c r="C1565" s="1937" t="s">
        <v>561</v>
      </c>
      <c r="D1565" s="1938" t="s">
        <v>562</v>
      </c>
      <c r="E1565" s="1941">
        <v>24886</v>
      </c>
      <c r="F1565" s="1941">
        <v>25000</v>
      </c>
      <c r="G1565" s="1942">
        <f t="shared" ref="G1565:G1628" si="321">F1565/E1565</f>
        <v>1.0045808888531704</v>
      </c>
    </row>
    <row r="1566" spans="1:7" ht="17.100000000000001" customHeight="1">
      <c r="A1566" s="848"/>
      <c r="B1566" s="860"/>
      <c r="C1566" s="1937" t="s">
        <v>565</v>
      </c>
      <c r="D1566" s="1938" t="s">
        <v>566</v>
      </c>
      <c r="E1566" s="1941">
        <v>89500</v>
      </c>
      <c r="F1566" s="1941">
        <v>89650</v>
      </c>
      <c r="G1566" s="1942">
        <f t="shared" si="321"/>
        <v>1.0016759776536313</v>
      </c>
    </row>
    <row r="1567" spans="1:7" ht="17.100000000000001" customHeight="1">
      <c r="A1567" s="848"/>
      <c r="B1567" s="860"/>
      <c r="C1567" s="1937" t="s">
        <v>631</v>
      </c>
      <c r="D1567" s="1938" t="s">
        <v>632</v>
      </c>
      <c r="E1567" s="1941">
        <v>6000</v>
      </c>
      <c r="F1567" s="1941">
        <v>5500</v>
      </c>
      <c r="G1567" s="1942">
        <f t="shared" si="321"/>
        <v>0.91666666666666663</v>
      </c>
    </row>
    <row r="1568" spans="1:7" ht="17.100000000000001" customHeight="1">
      <c r="A1568" s="848"/>
      <c r="B1568" s="860"/>
      <c r="C1568" s="1937" t="s">
        <v>569</v>
      </c>
      <c r="D1568" s="1938" t="s">
        <v>570</v>
      </c>
      <c r="E1568" s="1941">
        <v>39406</v>
      </c>
      <c r="F1568" s="1941">
        <v>68730</v>
      </c>
      <c r="G1568" s="1942">
        <f t="shared" si="321"/>
        <v>1.7441506369588387</v>
      </c>
    </row>
    <row r="1569" spans="1:7" ht="17.100000000000001" customHeight="1">
      <c r="A1569" s="848"/>
      <c r="B1569" s="860"/>
      <c r="C1569" s="1947"/>
      <c r="D1569" s="1947"/>
      <c r="E1569" s="1948"/>
      <c r="F1569" s="1948"/>
      <c r="G1569" s="963"/>
    </row>
    <row r="1570" spans="1:7" ht="17.100000000000001" customHeight="1">
      <c r="A1570" s="848"/>
      <c r="B1570" s="860"/>
      <c r="C1570" s="2857" t="s">
        <v>571</v>
      </c>
      <c r="D1570" s="2857"/>
      <c r="E1570" s="1949">
        <f t="shared" ref="E1570:F1570" si="322">E1571+E1572</f>
        <v>15760</v>
      </c>
      <c r="F1570" s="1949">
        <f t="shared" si="322"/>
        <v>15960</v>
      </c>
      <c r="G1570" s="1950">
        <f t="shared" si="321"/>
        <v>1.0126903553299493</v>
      </c>
    </row>
    <row r="1571" spans="1:7" ht="17.100000000000001" customHeight="1">
      <c r="A1571" s="848"/>
      <c r="B1571" s="860"/>
      <c r="C1571" s="1943" t="s">
        <v>572</v>
      </c>
      <c r="D1571" s="1944" t="s">
        <v>573</v>
      </c>
      <c r="E1571" s="1934">
        <v>15500</v>
      </c>
      <c r="F1571" s="1934">
        <v>15700</v>
      </c>
      <c r="G1571" s="1926">
        <f t="shared" si="321"/>
        <v>1.0129032258064516</v>
      </c>
    </row>
    <row r="1572" spans="1:7" ht="17.100000000000001" customHeight="1">
      <c r="A1572" s="848"/>
      <c r="B1572" s="860"/>
      <c r="C1572" s="1951" t="s">
        <v>736</v>
      </c>
      <c r="D1572" s="1952" t="s">
        <v>744</v>
      </c>
      <c r="E1572" s="1949">
        <v>260</v>
      </c>
      <c r="F1572" s="1949">
        <v>260</v>
      </c>
      <c r="G1572" s="1950">
        <f t="shared" si="321"/>
        <v>1</v>
      </c>
    </row>
    <row r="1573" spans="1:7" ht="17.100000000000001" customHeight="1">
      <c r="A1573" s="848"/>
      <c r="B1573" s="860"/>
      <c r="C1573" s="1947"/>
      <c r="D1573" s="1947"/>
      <c r="E1573" s="1948"/>
      <c r="F1573" s="1948"/>
      <c r="G1573" s="963"/>
    </row>
    <row r="1574" spans="1:7" ht="17.100000000000001" customHeight="1">
      <c r="A1574" s="848"/>
      <c r="B1574" s="860"/>
      <c r="C1574" s="2848" t="s">
        <v>587</v>
      </c>
      <c r="D1574" s="2848"/>
      <c r="E1574" s="1949">
        <f>SUM(E1575:E1612)</f>
        <v>20224330</v>
      </c>
      <c r="F1574" s="1949">
        <f t="shared" ref="F1574" si="323">SUM(F1575:F1612)</f>
        <v>20610762</v>
      </c>
      <c r="G1574" s="1950">
        <f t="shared" si="321"/>
        <v>1.0191072831584531</v>
      </c>
    </row>
    <row r="1575" spans="1:7" ht="16.5" customHeight="1">
      <c r="A1575" s="848"/>
      <c r="B1575" s="860"/>
      <c r="C1575" s="1937" t="s">
        <v>741</v>
      </c>
      <c r="D1575" s="1944" t="s">
        <v>573</v>
      </c>
      <c r="E1575" s="1949">
        <f>8925+4214</f>
        <v>13139</v>
      </c>
      <c r="F1575" s="1949">
        <f>10200+5057</f>
        <v>15257</v>
      </c>
      <c r="G1575" s="1950">
        <f t="shared" si="321"/>
        <v>1.1611994824568079</v>
      </c>
    </row>
    <row r="1576" spans="1:7" ht="16.5" customHeight="1">
      <c r="A1576" s="848"/>
      <c r="B1576" s="860"/>
      <c r="C1576" s="1937" t="s">
        <v>742</v>
      </c>
      <c r="D1576" s="1944" t="s">
        <v>573</v>
      </c>
      <c r="E1576" s="1949">
        <f>1575+786</f>
        <v>2361</v>
      </c>
      <c r="F1576" s="1949">
        <f>1800+943</f>
        <v>2743</v>
      </c>
      <c r="G1576" s="1950">
        <f t="shared" si="321"/>
        <v>1.1617958492164338</v>
      </c>
    </row>
    <row r="1577" spans="1:7" ht="17.100000000000001" customHeight="1">
      <c r="A1577" s="848"/>
      <c r="B1577" s="860"/>
      <c r="C1577" s="1951" t="s">
        <v>591</v>
      </c>
      <c r="D1577" s="1953" t="s">
        <v>525</v>
      </c>
      <c r="E1577" s="1949">
        <f>9328838+2694517</f>
        <v>12023355</v>
      </c>
      <c r="F1577" s="1949">
        <f>9646925+2650628</f>
        <v>12297553</v>
      </c>
      <c r="G1577" s="1950">
        <f t="shared" si="321"/>
        <v>1.0228054482297162</v>
      </c>
    </row>
    <row r="1578" spans="1:7" ht="17.100000000000001" customHeight="1">
      <c r="A1578" s="848"/>
      <c r="B1578" s="860"/>
      <c r="C1578" s="1057" t="s">
        <v>592</v>
      </c>
      <c r="D1578" s="1938" t="s">
        <v>525</v>
      </c>
      <c r="E1578" s="1949">
        <f>1646266+502585</f>
        <v>2148851</v>
      </c>
      <c r="F1578" s="1949">
        <f>1702399+494398</f>
        <v>2196797</v>
      </c>
      <c r="G1578" s="1950">
        <f t="shared" si="321"/>
        <v>1.0223123892722203</v>
      </c>
    </row>
    <row r="1579" spans="1:7" ht="17.100000000000001" customHeight="1">
      <c r="A1579" s="848"/>
      <c r="B1579" s="860"/>
      <c r="C1579" s="1937" t="s">
        <v>593</v>
      </c>
      <c r="D1579" s="1938" t="s">
        <v>527</v>
      </c>
      <c r="E1579" s="1949">
        <f>623498+171594</f>
        <v>795092</v>
      </c>
      <c r="F1579" s="1949">
        <f>637690+182301</f>
        <v>819991</v>
      </c>
      <c r="G1579" s="1950">
        <f t="shared" si="321"/>
        <v>1.0313158728801195</v>
      </c>
    </row>
    <row r="1580" spans="1:7" ht="17.100000000000001" customHeight="1">
      <c r="A1580" s="848"/>
      <c r="B1580" s="860"/>
      <c r="C1580" s="1937" t="s">
        <v>594</v>
      </c>
      <c r="D1580" s="1938" t="s">
        <v>527</v>
      </c>
      <c r="E1580" s="1949">
        <f>110029+32006</f>
        <v>142035</v>
      </c>
      <c r="F1580" s="1949">
        <f>112533+34003</f>
        <v>146536</v>
      </c>
      <c r="G1580" s="1950">
        <f t="shared" si="321"/>
        <v>1.031689372337804</v>
      </c>
    </row>
    <row r="1581" spans="1:7" ht="17.100000000000001" customHeight="1">
      <c r="A1581" s="848"/>
      <c r="B1581" s="860"/>
      <c r="C1581" s="1937" t="s">
        <v>595</v>
      </c>
      <c r="D1581" s="1938" t="s">
        <v>529</v>
      </c>
      <c r="E1581" s="1949">
        <f>1701850+490276</f>
        <v>2192126</v>
      </c>
      <c r="F1581" s="1949">
        <f>1767926+486981</f>
        <v>2254907</v>
      </c>
      <c r="G1581" s="1950">
        <f t="shared" si="321"/>
        <v>1.0286393209149474</v>
      </c>
    </row>
    <row r="1582" spans="1:7" ht="17.100000000000001" customHeight="1">
      <c r="A1582" s="848"/>
      <c r="B1582" s="860"/>
      <c r="C1582" s="1937" t="s">
        <v>596</v>
      </c>
      <c r="D1582" s="1938" t="s">
        <v>529</v>
      </c>
      <c r="E1582" s="1949">
        <f>300326+91447</f>
        <v>391773</v>
      </c>
      <c r="F1582" s="1949">
        <f>311986+90832</f>
        <v>402818</v>
      </c>
      <c r="G1582" s="1950">
        <f t="shared" si="321"/>
        <v>1.0281923460779585</v>
      </c>
    </row>
    <row r="1583" spans="1:7" ht="17.100000000000001" customHeight="1">
      <c r="A1583" s="848"/>
      <c r="B1583" s="860"/>
      <c r="C1583" s="1937" t="s">
        <v>597</v>
      </c>
      <c r="D1583" s="1938" t="s">
        <v>531</v>
      </c>
      <c r="E1583" s="1949">
        <f>243831+70225</f>
        <v>314056</v>
      </c>
      <c r="F1583" s="1949">
        <f>251972+69407</f>
        <v>321379</v>
      </c>
      <c r="G1583" s="1950">
        <f t="shared" si="321"/>
        <v>1.0233174975163666</v>
      </c>
    </row>
    <row r="1584" spans="1:7" ht="17.100000000000001" customHeight="1">
      <c r="A1584" s="848"/>
      <c r="B1584" s="860"/>
      <c r="C1584" s="1937" t="s">
        <v>598</v>
      </c>
      <c r="D1584" s="1938" t="s">
        <v>531</v>
      </c>
      <c r="E1584" s="1949">
        <f>43029+13098</f>
        <v>56127</v>
      </c>
      <c r="F1584" s="1949">
        <f>44466+12945</f>
        <v>57411</v>
      </c>
      <c r="G1584" s="1950">
        <f t="shared" si="321"/>
        <v>1.0228766903629269</v>
      </c>
    </row>
    <row r="1585" spans="1:7" ht="17.100000000000001" customHeight="1">
      <c r="A1585" s="848"/>
      <c r="B1585" s="860"/>
      <c r="C1585" s="1937" t="s">
        <v>599</v>
      </c>
      <c r="D1585" s="1938" t="s">
        <v>533</v>
      </c>
      <c r="E1585" s="1949">
        <f>72633+16856</f>
        <v>89489</v>
      </c>
      <c r="F1585" s="1949">
        <f>42500+3371</f>
        <v>45871</v>
      </c>
      <c r="G1585" s="1950">
        <f t="shared" si="321"/>
        <v>0.51258813932438618</v>
      </c>
    </row>
    <row r="1586" spans="1:7" ht="17.100000000000001" customHeight="1">
      <c r="A1586" s="848"/>
      <c r="B1586" s="860"/>
      <c r="C1586" s="1937" t="s">
        <v>600</v>
      </c>
      <c r="D1586" s="1938" t="s">
        <v>533</v>
      </c>
      <c r="E1586" s="1949">
        <f>12817+3144</f>
        <v>15961</v>
      </c>
      <c r="F1586" s="1949">
        <f>7500+629</f>
        <v>8129</v>
      </c>
      <c r="G1586" s="1950">
        <f t="shared" si="321"/>
        <v>0.50930392832529292</v>
      </c>
    </row>
    <row r="1587" spans="1:7" ht="17.100000000000001" customHeight="1">
      <c r="A1587" s="848"/>
      <c r="B1587" s="860"/>
      <c r="C1587" s="1937" t="s">
        <v>604</v>
      </c>
      <c r="D1587" s="1938" t="s">
        <v>538</v>
      </c>
      <c r="E1587" s="1949">
        <f>228650+84701</f>
        <v>313351</v>
      </c>
      <c r="F1587" s="1949">
        <f>319175+64896</f>
        <v>384071</v>
      </c>
      <c r="G1587" s="1950">
        <f t="shared" si="321"/>
        <v>1.2256894026187886</v>
      </c>
    </row>
    <row r="1588" spans="1:7" ht="17.100000000000001" customHeight="1">
      <c r="A1588" s="848"/>
      <c r="B1588" s="860"/>
      <c r="C1588" s="1937" t="s">
        <v>605</v>
      </c>
      <c r="D1588" s="1938" t="s">
        <v>538</v>
      </c>
      <c r="E1588" s="1949">
        <f>40350+15799</f>
        <v>56149</v>
      </c>
      <c r="F1588" s="1949">
        <f>56325+12104</f>
        <v>68429</v>
      </c>
      <c r="G1588" s="1950">
        <f t="shared" si="321"/>
        <v>1.2187038059448967</v>
      </c>
    </row>
    <row r="1589" spans="1:7" ht="17.100000000000001" customHeight="1">
      <c r="A1589" s="848"/>
      <c r="B1589" s="860"/>
      <c r="C1589" s="1937" t="s">
        <v>746</v>
      </c>
      <c r="D1589" s="1938" t="s">
        <v>542</v>
      </c>
      <c r="E1589" s="1949">
        <f>127500+43825</f>
        <v>171325</v>
      </c>
      <c r="F1589" s="1949">
        <f>127500+58153</f>
        <v>185653</v>
      </c>
      <c r="G1589" s="1950">
        <f t="shared" si="321"/>
        <v>1.0836305267765942</v>
      </c>
    </row>
    <row r="1590" spans="1:7" ht="17.100000000000001" customHeight="1">
      <c r="A1590" s="848"/>
      <c r="B1590" s="860"/>
      <c r="C1590" s="1937" t="s">
        <v>747</v>
      </c>
      <c r="D1590" s="1938" t="s">
        <v>542</v>
      </c>
      <c r="E1590" s="1949">
        <f>22500+8175</f>
        <v>30675</v>
      </c>
      <c r="F1590" s="1949">
        <f>22500+10847</f>
        <v>33347</v>
      </c>
      <c r="G1590" s="1950">
        <f t="shared" si="321"/>
        <v>1.0871067644661776</v>
      </c>
    </row>
    <row r="1591" spans="1:7" ht="17.100000000000001" customHeight="1">
      <c r="A1591" s="848"/>
      <c r="B1591" s="860"/>
      <c r="C1591" s="1943" t="s">
        <v>606</v>
      </c>
      <c r="D1591" s="1944" t="s">
        <v>544</v>
      </c>
      <c r="E1591" s="1949">
        <f>45203+6995</f>
        <v>52198</v>
      </c>
      <c r="F1591" s="1949">
        <f>44965+8259</f>
        <v>53224</v>
      </c>
      <c r="G1591" s="1950">
        <f t="shared" si="321"/>
        <v>1.0196559255143876</v>
      </c>
    </row>
    <row r="1592" spans="1:7" ht="17.100000000000001" customHeight="1">
      <c r="A1592" s="848"/>
      <c r="B1592" s="860"/>
      <c r="C1592" s="1943" t="s">
        <v>607</v>
      </c>
      <c r="D1592" s="1944" t="s">
        <v>544</v>
      </c>
      <c r="E1592" s="1949">
        <f>7977+1305</f>
        <v>9282</v>
      </c>
      <c r="F1592" s="1949">
        <f>7935+1541</f>
        <v>9476</v>
      </c>
      <c r="G1592" s="1950">
        <f t="shared" si="321"/>
        <v>1.0209006679594914</v>
      </c>
    </row>
    <row r="1593" spans="1:7" ht="17.100000000000001" customHeight="1">
      <c r="A1593" s="848"/>
      <c r="B1593" s="860"/>
      <c r="C1593" s="1954" t="s">
        <v>748</v>
      </c>
      <c r="D1593" s="1955" t="s">
        <v>546</v>
      </c>
      <c r="E1593" s="1949">
        <f>6827+2220</f>
        <v>9047</v>
      </c>
      <c r="F1593" s="1949">
        <f>5457+2107</f>
        <v>7564</v>
      </c>
      <c r="G1593" s="1950">
        <f t="shared" si="321"/>
        <v>0.83607825798607271</v>
      </c>
    </row>
    <row r="1594" spans="1:7" ht="17.100000000000001" customHeight="1">
      <c r="A1594" s="848"/>
      <c r="B1594" s="860"/>
      <c r="C1594" s="1956" t="s">
        <v>749</v>
      </c>
      <c r="D1594" s="1957" t="s">
        <v>546</v>
      </c>
      <c r="E1594" s="1949">
        <f>1205+414</f>
        <v>1619</v>
      </c>
      <c r="F1594" s="1949">
        <f>963+393</f>
        <v>1356</v>
      </c>
      <c r="G1594" s="1950">
        <f t="shared" si="321"/>
        <v>0.83755404570722669</v>
      </c>
    </row>
    <row r="1595" spans="1:7" ht="17.100000000000001" customHeight="1">
      <c r="A1595" s="848"/>
      <c r="B1595" s="860"/>
      <c r="C1595" s="1057" t="s">
        <v>608</v>
      </c>
      <c r="D1595" s="1058" t="s">
        <v>548</v>
      </c>
      <c r="E1595" s="1949">
        <f>401650+169790</f>
        <v>571440</v>
      </c>
      <c r="F1595" s="1949">
        <f>393508+161733</f>
        <v>555241</v>
      </c>
      <c r="G1595" s="1950">
        <f t="shared" si="321"/>
        <v>0.97165231695366094</v>
      </c>
    </row>
    <row r="1596" spans="1:7" ht="17.100000000000001" customHeight="1">
      <c r="A1596" s="848"/>
      <c r="B1596" s="860"/>
      <c r="C1596" s="1937" t="s">
        <v>609</v>
      </c>
      <c r="D1596" s="1938" t="s">
        <v>548</v>
      </c>
      <c r="E1596" s="1949">
        <f>70880+31670</f>
        <v>102550</v>
      </c>
      <c r="F1596" s="1949">
        <f>69442+30167</f>
        <v>99609</v>
      </c>
      <c r="G1596" s="1950">
        <f t="shared" si="321"/>
        <v>0.97132130667966843</v>
      </c>
    </row>
    <row r="1597" spans="1:7" ht="16.5" customHeight="1">
      <c r="A1597" s="848"/>
      <c r="B1597" s="860"/>
      <c r="C1597" s="1937" t="s">
        <v>750</v>
      </c>
      <c r="D1597" s="1938" t="s">
        <v>550</v>
      </c>
      <c r="E1597" s="1949">
        <f>29750+9271</f>
        <v>39021</v>
      </c>
      <c r="F1597" s="1949">
        <f>19380+6068</f>
        <v>25448</v>
      </c>
      <c r="G1597" s="1950">
        <f t="shared" si="321"/>
        <v>0.65216165654391223</v>
      </c>
    </row>
    <row r="1598" spans="1:7" ht="16.5" customHeight="1">
      <c r="A1598" s="848"/>
      <c r="B1598" s="860"/>
      <c r="C1598" s="1937" t="s">
        <v>774</v>
      </c>
      <c r="D1598" s="1938" t="s">
        <v>550</v>
      </c>
      <c r="E1598" s="1949">
        <f>5250+1729</f>
        <v>6979</v>
      </c>
      <c r="F1598" s="1949">
        <f>3420+1132</f>
        <v>4552</v>
      </c>
      <c r="G1598" s="1950">
        <f t="shared" si="321"/>
        <v>0.6522424416105459</v>
      </c>
    </row>
    <row r="1599" spans="1:7" ht="16.5" customHeight="1">
      <c r="A1599" s="848"/>
      <c r="B1599" s="860"/>
      <c r="C1599" s="1937" t="s">
        <v>728</v>
      </c>
      <c r="D1599" s="1938" t="s">
        <v>701</v>
      </c>
      <c r="E1599" s="1949">
        <f>850+337</f>
        <v>1187</v>
      </c>
      <c r="F1599" s="1949">
        <f>1020+421</f>
        <v>1441</v>
      </c>
      <c r="G1599" s="1950">
        <f t="shared" si="321"/>
        <v>1.2139848357203034</v>
      </c>
    </row>
    <row r="1600" spans="1:7" ht="16.5" customHeight="1">
      <c r="A1600" s="848"/>
      <c r="B1600" s="860"/>
      <c r="C1600" s="1937" t="s">
        <v>700</v>
      </c>
      <c r="D1600" s="1938" t="s">
        <v>701</v>
      </c>
      <c r="E1600" s="1949">
        <f>150+63</f>
        <v>213</v>
      </c>
      <c r="F1600" s="1949">
        <f>180+79</f>
        <v>259</v>
      </c>
      <c r="G1600" s="1950">
        <f t="shared" si="321"/>
        <v>1.215962441314554</v>
      </c>
    </row>
    <row r="1601" spans="1:7" ht="16.5" hidden="1" customHeight="1">
      <c r="A1601" s="848"/>
      <c r="B1601" s="860"/>
      <c r="C1601" s="1937" t="s">
        <v>610</v>
      </c>
      <c r="D1601" s="1938" t="s">
        <v>552</v>
      </c>
      <c r="E1601" s="1949">
        <v>94335</v>
      </c>
      <c r="F1601" s="1949">
        <v>0</v>
      </c>
      <c r="G1601" s="1950">
        <f t="shared" si="321"/>
        <v>0</v>
      </c>
    </row>
    <row r="1602" spans="1:7" ht="16.5" hidden="1" customHeight="1">
      <c r="A1602" s="848"/>
      <c r="B1602" s="860"/>
      <c r="C1602" s="1937" t="s">
        <v>611</v>
      </c>
      <c r="D1602" s="1938" t="s">
        <v>552</v>
      </c>
      <c r="E1602" s="1949">
        <v>17596</v>
      </c>
      <c r="F1602" s="1949">
        <v>0</v>
      </c>
      <c r="G1602" s="1950">
        <f t="shared" si="321"/>
        <v>0</v>
      </c>
    </row>
    <row r="1603" spans="1:7" ht="24" customHeight="1">
      <c r="A1603" s="848"/>
      <c r="B1603" s="860"/>
      <c r="C1603" s="1937" t="s">
        <v>752</v>
      </c>
      <c r="D1603" s="1938" t="s">
        <v>554</v>
      </c>
      <c r="E1603" s="1949">
        <f>8500+147490</f>
        <v>155990</v>
      </c>
      <c r="F1603" s="1949">
        <f>17000+194181</f>
        <v>211181</v>
      </c>
      <c r="G1603" s="1950">
        <f t="shared" si="321"/>
        <v>1.3538111417398551</v>
      </c>
    </row>
    <row r="1604" spans="1:7" ht="24.75" customHeight="1">
      <c r="A1604" s="848"/>
      <c r="B1604" s="860"/>
      <c r="C1604" s="1937" t="s">
        <v>753</v>
      </c>
      <c r="D1604" s="1938" t="s">
        <v>554</v>
      </c>
      <c r="E1604" s="1949">
        <f>1500+27510</f>
        <v>29010</v>
      </c>
      <c r="F1604" s="1949">
        <f>3000+36219</f>
        <v>39219</v>
      </c>
      <c r="G1604" s="1950">
        <f t="shared" si="321"/>
        <v>1.3519131334022751</v>
      </c>
    </row>
    <row r="1605" spans="1:7" ht="17.100000000000001" customHeight="1">
      <c r="A1605" s="848"/>
      <c r="B1605" s="860"/>
      <c r="C1605" s="1937" t="s">
        <v>612</v>
      </c>
      <c r="D1605" s="1938" t="s">
        <v>556</v>
      </c>
      <c r="E1605" s="1949">
        <f>45900+31520</f>
        <v>77420</v>
      </c>
      <c r="F1605" s="1949">
        <f>52700+21070</f>
        <v>73770</v>
      </c>
      <c r="G1605" s="1950">
        <f t="shared" si="321"/>
        <v>0.95285455954533715</v>
      </c>
    </row>
    <row r="1606" spans="1:7" ht="17.100000000000001" customHeight="1">
      <c r="A1606" s="848"/>
      <c r="B1606" s="860"/>
      <c r="C1606" s="1937" t="s">
        <v>613</v>
      </c>
      <c r="D1606" s="1938" t="s">
        <v>556</v>
      </c>
      <c r="E1606" s="1949">
        <f>8100+5878</f>
        <v>13978</v>
      </c>
      <c r="F1606" s="1949">
        <f>9300+3930</f>
        <v>13230</v>
      </c>
      <c r="G1606" s="1950">
        <f t="shared" si="321"/>
        <v>0.94648733724424094</v>
      </c>
    </row>
    <row r="1607" spans="1:7" ht="17.100000000000001" customHeight="1">
      <c r="A1607" s="848"/>
      <c r="B1607" s="860"/>
      <c r="C1607" s="1937" t="s">
        <v>754</v>
      </c>
      <c r="D1607" s="1938" t="s">
        <v>566</v>
      </c>
      <c r="E1607" s="1949">
        <f>4250+506</f>
        <v>4756</v>
      </c>
      <c r="F1607" s="1949">
        <f>4250+674</f>
        <v>4924</v>
      </c>
      <c r="G1607" s="1950">
        <f t="shared" si="321"/>
        <v>1.0353238015138773</v>
      </c>
    </row>
    <row r="1608" spans="1:7" ht="17.100000000000001" customHeight="1">
      <c r="A1608" s="848"/>
      <c r="B1608" s="860"/>
      <c r="C1608" s="1937" t="s">
        <v>755</v>
      </c>
      <c r="D1608" s="1938" t="s">
        <v>566</v>
      </c>
      <c r="E1608" s="1949">
        <f>750+94</f>
        <v>844</v>
      </c>
      <c r="F1608" s="1949">
        <f>750+126</f>
        <v>876</v>
      </c>
      <c r="G1608" s="1950">
        <f t="shared" si="321"/>
        <v>1.0379146919431279</v>
      </c>
    </row>
    <row r="1609" spans="1:7" ht="17.100000000000001" customHeight="1">
      <c r="A1609" s="848"/>
      <c r="B1609" s="860"/>
      <c r="C1609" s="1937" t="s">
        <v>756</v>
      </c>
      <c r="D1609" s="1938" t="s">
        <v>632</v>
      </c>
      <c r="E1609" s="1949">
        <f>8160+1180</f>
        <v>9340</v>
      </c>
      <c r="F1609" s="1949">
        <f>5525+1686</f>
        <v>7211</v>
      </c>
      <c r="G1609" s="1950">
        <f t="shared" si="321"/>
        <v>0.77205567451820134</v>
      </c>
    </row>
    <row r="1610" spans="1:7" ht="17.100000000000001" customHeight="1">
      <c r="A1610" s="848"/>
      <c r="B1610" s="860"/>
      <c r="C1610" s="1937" t="s">
        <v>757</v>
      </c>
      <c r="D1610" s="1938" t="s">
        <v>632</v>
      </c>
      <c r="E1610" s="1949">
        <f>1440+220</f>
        <v>1660</v>
      </c>
      <c r="F1610" s="1949">
        <f>975+314</f>
        <v>1289</v>
      </c>
      <c r="G1610" s="1950">
        <f t="shared" si="321"/>
        <v>0.77650602409638558</v>
      </c>
    </row>
    <row r="1611" spans="1:7" ht="17.100000000000001" customHeight="1">
      <c r="A1611" s="848"/>
      <c r="B1611" s="860"/>
      <c r="C1611" s="1937" t="s">
        <v>616</v>
      </c>
      <c r="D1611" s="1938" t="s">
        <v>570</v>
      </c>
      <c r="E1611" s="1949">
        <f>175950+53096</f>
        <v>229046</v>
      </c>
      <c r="F1611" s="1949">
        <f>174250+46354</f>
        <v>220604</v>
      </c>
      <c r="G1611" s="1950">
        <f t="shared" si="321"/>
        <v>0.96314277481379285</v>
      </c>
    </row>
    <row r="1612" spans="1:7" ht="17.100000000000001" customHeight="1">
      <c r="A1612" s="848"/>
      <c r="B1612" s="860"/>
      <c r="C1612" s="1937" t="s">
        <v>617</v>
      </c>
      <c r="D1612" s="1938" t="s">
        <v>570</v>
      </c>
      <c r="E1612" s="1949">
        <f>31050+9904</f>
        <v>40954</v>
      </c>
      <c r="F1612" s="1949">
        <f>30750+8646</f>
        <v>39396</v>
      </c>
      <c r="G1612" s="1950">
        <f t="shared" si="321"/>
        <v>0.96195731796649897</v>
      </c>
    </row>
    <row r="1613" spans="1:7" ht="12.75" customHeight="1">
      <c r="A1613" s="848"/>
      <c r="B1613" s="860"/>
      <c r="C1613" s="999"/>
      <c r="D1613" s="999"/>
      <c r="E1613" s="882"/>
      <c r="F1613" s="882"/>
      <c r="G1613" s="883"/>
    </row>
    <row r="1614" spans="1:7" ht="17.100000000000001" customHeight="1">
      <c r="A1614" s="848"/>
      <c r="B1614" s="860"/>
      <c r="C1614" s="2853" t="s">
        <v>574</v>
      </c>
      <c r="D1614" s="2853"/>
      <c r="E1614" s="1958">
        <f>E1615</f>
        <v>242000</v>
      </c>
      <c r="F1614" s="1958">
        <f t="shared" ref="F1614" si="324">F1615</f>
        <v>550000</v>
      </c>
      <c r="G1614" s="1959">
        <f t="shared" si="321"/>
        <v>2.2727272727272729</v>
      </c>
    </row>
    <row r="1615" spans="1:7" ht="17.100000000000001" customHeight="1">
      <c r="A1615" s="848"/>
      <c r="B1615" s="860"/>
      <c r="C1615" s="2835" t="s">
        <v>575</v>
      </c>
      <c r="D1615" s="2835"/>
      <c r="E1615" s="1960">
        <f>SUM(E1616:E1619)</f>
        <v>242000</v>
      </c>
      <c r="F1615" s="1960">
        <f t="shared" ref="F1615" si="325">SUM(F1616:F1619)</f>
        <v>550000</v>
      </c>
      <c r="G1615" s="1950">
        <f t="shared" si="321"/>
        <v>2.2727272727272729</v>
      </c>
    </row>
    <row r="1616" spans="1:7" ht="17.100000000000001" hidden="1" customHeight="1">
      <c r="A1616" s="848"/>
      <c r="B1616" s="860"/>
      <c r="C1616" s="1937" t="s">
        <v>582</v>
      </c>
      <c r="D1616" s="1938" t="s">
        <v>577</v>
      </c>
      <c r="E1616" s="1960">
        <v>100000</v>
      </c>
      <c r="F1616" s="1960">
        <v>0</v>
      </c>
      <c r="G1616" s="1950">
        <f t="shared" si="321"/>
        <v>0</v>
      </c>
    </row>
    <row r="1617" spans="1:7" ht="15" customHeight="1">
      <c r="A1617" s="848"/>
      <c r="B1617" s="860"/>
      <c r="C1617" s="1937" t="s">
        <v>576</v>
      </c>
      <c r="D1617" s="1938" t="s">
        <v>622</v>
      </c>
      <c r="E1617" s="1960">
        <v>32000</v>
      </c>
      <c r="F1617" s="1960">
        <v>520000</v>
      </c>
      <c r="G1617" s="1950">
        <f t="shared" si="321"/>
        <v>16.25</v>
      </c>
    </row>
    <row r="1618" spans="1:7" ht="17.100000000000001" customHeight="1">
      <c r="A1618" s="848"/>
      <c r="B1618" s="860"/>
      <c r="C1618" s="1937" t="s">
        <v>691</v>
      </c>
      <c r="D1618" s="1938" t="s">
        <v>622</v>
      </c>
      <c r="E1618" s="1960">
        <f>76500+16856</f>
        <v>93356</v>
      </c>
      <c r="F1618" s="1960">
        <v>25500</v>
      </c>
      <c r="G1618" s="1950">
        <f t="shared" si="321"/>
        <v>0.273147949783624</v>
      </c>
    </row>
    <row r="1619" spans="1:7" ht="17.100000000000001" customHeight="1">
      <c r="A1619" s="848"/>
      <c r="B1619" s="860"/>
      <c r="C1619" s="1937" t="s">
        <v>674</v>
      </c>
      <c r="D1619" s="1938" t="s">
        <v>622</v>
      </c>
      <c r="E1619" s="1960">
        <f>13500+3144</f>
        <v>16644</v>
      </c>
      <c r="F1619" s="1960">
        <v>4500</v>
      </c>
      <c r="G1619" s="1950">
        <f t="shared" si="321"/>
        <v>0.27036770007209804</v>
      </c>
    </row>
    <row r="1620" spans="1:7" ht="15" customHeight="1">
      <c r="A1620" s="848"/>
      <c r="B1620" s="860"/>
      <c r="C1620" s="999"/>
      <c r="D1620" s="1048"/>
      <c r="E1620" s="1049"/>
      <c r="F1620" s="1049"/>
      <c r="G1620" s="1050"/>
    </row>
    <row r="1621" spans="1:7" ht="20.25" customHeight="1">
      <c r="A1621" s="848"/>
      <c r="B1621" s="860"/>
      <c r="C1621" s="2832" t="s">
        <v>585</v>
      </c>
      <c r="D1621" s="2854"/>
      <c r="E1621" s="1960">
        <f>SUM(E1622:E1623)</f>
        <v>110000</v>
      </c>
      <c r="F1621" s="1960">
        <f t="shared" ref="F1621" si="326">SUM(F1622:F1623)</f>
        <v>30000</v>
      </c>
      <c r="G1621" s="1950">
        <f t="shared" si="321"/>
        <v>0.27272727272727271</v>
      </c>
    </row>
    <row r="1622" spans="1:7" ht="17.100000000000001" customHeight="1">
      <c r="A1622" s="848"/>
      <c r="B1622" s="860"/>
      <c r="C1622" s="1927" t="s">
        <v>691</v>
      </c>
      <c r="D1622" s="1961" t="s">
        <v>622</v>
      </c>
      <c r="E1622" s="1960">
        <f>76500+16856</f>
        <v>93356</v>
      </c>
      <c r="F1622" s="1960">
        <v>25500</v>
      </c>
      <c r="G1622" s="1950">
        <f t="shared" si="321"/>
        <v>0.273147949783624</v>
      </c>
    </row>
    <row r="1623" spans="1:7" ht="17.100000000000001" customHeight="1" thickBot="1">
      <c r="A1623" s="848"/>
      <c r="B1623" s="860"/>
      <c r="C1623" s="1400" t="s">
        <v>674</v>
      </c>
      <c r="D1623" s="1370" t="s">
        <v>622</v>
      </c>
      <c r="E1623" s="1962">
        <f>13500+3144</f>
        <v>16644</v>
      </c>
      <c r="F1623" s="1962">
        <v>4500</v>
      </c>
      <c r="G1623" s="1950">
        <f t="shared" si="321"/>
        <v>0.27036770007209804</v>
      </c>
    </row>
    <row r="1624" spans="1:7" ht="17.100000000000001" customHeight="1" thickBot="1">
      <c r="A1624" s="848"/>
      <c r="B1624" s="1072" t="s">
        <v>916</v>
      </c>
      <c r="C1624" s="1073"/>
      <c r="D1624" s="1074" t="s">
        <v>254</v>
      </c>
      <c r="E1624" s="1075">
        <f>E1625+E1653</f>
        <v>10039827</v>
      </c>
      <c r="F1624" s="1075">
        <f t="shared" ref="F1624" si="327">F1625+F1653</f>
        <v>10844995</v>
      </c>
      <c r="G1624" s="1076">
        <f t="shared" si="321"/>
        <v>1.0801973978236876</v>
      </c>
    </row>
    <row r="1625" spans="1:7" ht="17.100000000000001" customHeight="1">
      <c r="A1625" s="848"/>
      <c r="B1625" s="2806"/>
      <c r="C1625" s="2802" t="s">
        <v>521</v>
      </c>
      <c r="D1625" s="2802"/>
      <c r="E1625" s="854">
        <f>E1626+E1633</f>
        <v>10009364</v>
      </c>
      <c r="F1625" s="854">
        <f t="shared" ref="F1625" si="328">F1626+F1633</f>
        <v>10844995</v>
      </c>
      <c r="G1625" s="855">
        <f t="shared" si="321"/>
        <v>1.0834849247164955</v>
      </c>
    </row>
    <row r="1626" spans="1:7" ht="17.100000000000001" customHeight="1">
      <c r="A1626" s="848"/>
      <c r="B1626" s="2806"/>
      <c r="C1626" s="2841" t="s">
        <v>618</v>
      </c>
      <c r="D1626" s="2841"/>
      <c r="E1626" s="1963">
        <f>SUM(E1627:E1631)</f>
        <v>9942643</v>
      </c>
      <c r="F1626" s="1963">
        <f t="shared" ref="F1626" si="329">SUM(F1627:F1631)</f>
        <v>10768979</v>
      </c>
      <c r="G1626" s="1926">
        <f t="shared" si="321"/>
        <v>1.0831102957231795</v>
      </c>
    </row>
    <row r="1627" spans="1:7" ht="61.5" customHeight="1">
      <c r="A1627" s="848"/>
      <c r="B1627" s="2806"/>
      <c r="C1627" s="1951" t="s">
        <v>460</v>
      </c>
      <c r="D1627" s="1964" t="s">
        <v>643</v>
      </c>
      <c r="E1627" s="1962">
        <f>5568679+2376000</f>
        <v>7944679</v>
      </c>
      <c r="F1627" s="1962">
        <f>5526854+3178000</f>
        <v>8704854</v>
      </c>
      <c r="G1627" s="1950">
        <f t="shared" si="321"/>
        <v>1.0956835386300692</v>
      </c>
    </row>
    <row r="1628" spans="1:7" ht="53.25" customHeight="1">
      <c r="A1628" s="848"/>
      <c r="B1628" s="2806"/>
      <c r="C1628" s="1951" t="s">
        <v>328</v>
      </c>
      <c r="D1628" s="1965" t="s">
        <v>590</v>
      </c>
      <c r="E1628" s="1962">
        <v>979365</v>
      </c>
      <c r="F1628" s="1962">
        <v>2064125</v>
      </c>
      <c r="G1628" s="1950">
        <f t="shared" si="321"/>
        <v>2.1076156489153686</v>
      </c>
    </row>
    <row r="1629" spans="1:7" ht="41.25" hidden="1" customHeight="1">
      <c r="A1629" s="848"/>
      <c r="B1629" s="974"/>
      <c r="C1629" s="1937" t="s">
        <v>637</v>
      </c>
      <c r="D1629" s="1210" t="s">
        <v>638</v>
      </c>
      <c r="E1629" s="962">
        <v>1673</v>
      </c>
      <c r="F1629" s="962">
        <v>0</v>
      </c>
      <c r="G1629" s="963">
        <f t="shared" ref="G1629:G1694" si="330">F1629/E1629</f>
        <v>0</v>
      </c>
    </row>
    <row r="1630" spans="1:7" ht="39" hidden="1" customHeight="1">
      <c r="A1630" s="848"/>
      <c r="B1630" s="974"/>
      <c r="C1630" s="1937" t="s">
        <v>431</v>
      </c>
      <c r="D1630" s="1210" t="s">
        <v>638</v>
      </c>
      <c r="E1630" s="1963">
        <f>4045+296</f>
        <v>4341</v>
      </c>
      <c r="F1630" s="1963">
        <v>0</v>
      </c>
      <c r="G1630" s="1926">
        <f t="shared" si="330"/>
        <v>0</v>
      </c>
    </row>
    <row r="1631" spans="1:7" ht="18.75" hidden="1" customHeight="1">
      <c r="A1631" s="848"/>
      <c r="B1631" s="974"/>
      <c r="C1631" s="1951" t="s">
        <v>432</v>
      </c>
      <c r="D1631" s="1965" t="s">
        <v>645</v>
      </c>
      <c r="E1631" s="1962">
        <f>1011421+1164</f>
        <v>1012585</v>
      </c>
      <c r="F1631" s="1962">
        <v>0</v>
      </c>
      <c r="G1631" s="1950">
        <f t="shared" si="330"/>
        <v>0</v>
      </c>
    </row>
    <row r="1632" spans="1:7" ht="18" customHeight="1">
      <c r="A1632" s="848"/>
      <c r="B1632" s="974"/>
      <c r="C1632" s="1366"/>
      <c r="D1632" s="1399"/>
      <c r="E1632" s="1963"/>
      <c r="F1632" s="1963"/>
      <c r="G1632" s="1926"/>
    </row>
    <row r="1633" spans="1:7" ht="18" customHeight="1">
      <c r="A1633" s="848"/>
      <c r="B1633" s="974"/>
      <c r="C1633" s="2848" t="s">
        <v>587</v>
      </c>
      <c r="D1633" s="2848"/>
      <c r="E1633" s="1963">
        <f>SUM(E1634:E1651)</f>
        <v>66721</v>
      </c>
      <c r="F1633" s="1963">
        <f t="shared" ref="F1633" si="331">SUM(F1634:F1651)</f>
        <v>76016</v>
      </c>
      <c r="G1633" s="1926">
        <f t="shared" si="330"/>
        <v>1.1393114611591553</v>
      </c>
    </row>
    <row r="1634" spans="1:7" ht="18" customHeight="1">
      <c r="A1634" s="848"/>
      <c r="B1634" s="974"/>
      <c r="C1634" s="1937" t="s">
        <v>647</v>
      </c>
      <c r="D1634" s="1944" t="s">
        <v>525</v>
      </c>
      <c r="E1634" s="1966">
        <v>40749</v>
      </c>
      <c r="F1634" s="1966">
        <v>48474</v>
      </c>
      <c r="G1634" s="1967">
        <f t="shared" si="330"/>
        <v>1.189575204299492</v>
      </c>
    </row>
    <row r="1635" spans="1:7" ht="18.75" customHeight="1">
      <c r="A1635" s="848"/>
      <c r="B1635" s="974"/>
      <c r="C1635" s="1937" t="s">
        <v>592</v>
      </c>
      <c r="D1635" s="1944" t="s">
        <v>525</v>
      </c>
      <c r="E1635" s="1966">
        <v>7601</v>
      </c>
      <c r="F1635" s="1966">
        <v>9041</v>
      </c>
      <c r="G1635" s="1967">
        <f t="shared" si="330"/>
        <v>1.1894487567425338</v>
      </c>
    </row>
    <row r="1636" spans="1:7" ht="18.75" customHeight="1">
      <c r="A1636" s="848"/>
      <c r="B1636" s="974"/>
      <c r="C1636" s="1968" t="s">
        <v>648</v>
      </c>
      <c r="D1636" s="1969" t="s">
        <v>527</v>
      </c>
      <c r="E1636" s="1970">
        <v>0</v>
      </c>
      <c r="F1636" s="1970">
        <v>3284</v>
      </c>
      <c r="G1636" s="1971"/>
    </row>
    <row r="1637" spans="1:7" ht="18.75" customHeight="1">
      <c r="A1637" s="848"/>
      <c r="B1637" s="974"/>
      <c r="C1637" s="1794" t="s">
        <v>594</v>
      </c>
      <c r="D1637" s="1972" t="s">
        <v>527</v>
      </c>
      <c r="E1637" s="1973">
        <v>0</v>
      </c>
      <c r="F1637" s="1973">
        <v>612</v>
      </c>
      <c r="G1637" s="1974"/>
    </row>
    <row r="1638" spans="1:7" ht="17.25" customHeight="1">
      <c r="A1638" s="848"/>
      <c r="B1638" s="974"/>
      <c r="C1638" s="1975" t="s">
        <v>649</v>
      </c>
      <c r="D1638" s="1976" t="s">
        <v>529</v>
      </c>
      <c r="E1638" s="1977">
        <v>6900</v>
      </c>
      <c r="F1638" s="1977">
        <v>8764</v>
      </c>
      <c r="G1638" s="1978">
        <f t="shared" si="330"/>
        <v>1.270144927536232</v>
      </c>
    </row>
    <row r="1639" spans="1:7" ht="21" customHeight="1">
      <c r="A1639" s="848"/>
      <c r="B1639" s="974"/>
      <c r="C1639" s="1057" t="s">
        <v>596</v>
      </c>
      <c r="D1639" s="1979" t="s">
        <v>529</v>
      </c>
      <c r="E1639" s="1190">
        <v>1287</v>
      </c>
      <c r="F1639" s="1980">
        <v>1635</v>
      </c>
      <c r="G1639" s="1981">
        <f t="shared" si="330"/>
        <v>1.2703962703962703</v>
      </c>
    </row>
    <row r="1640" spans="1:7" ht="17.25" customHeight="1">
      <c r="A1640" s="848"/>
      <c r="B1640" s="974"/>
      <c r="C1640" s="1982" t="s">
        <v>650</v>
      </c>
      <c r="D1640" s="1983" t="s">
        <v>531</v>
      </c>
      <c r="E1640" s="962">
        <v>998</v>
      </c>
      <c r="F1640" s="1980">
        <v>1269</v>
      </c>
      <c r="G1640" s="1981">
        <f t="shared" si="330"/>
        <v>1.2715430861723447</v>
      </c>
    </row>
    <row r="1641" spans="1:7" ht="18" customHeight="1">
      <c r="A1641" s="848"/>
      <c r="B1641" s="974"/>
      <c r="C1641" s="1982" t="s">
        <v>598</v>
      </c>
      <c r="D1641" s="1983" t="s">
        <v>531</v>
      </c>
      <c r="E1641" s="1984">
        <v>186</v>
      </c>
      <c r="F1641" s="1980">
        <v>237</v>
      </c>
      <c r="G1641" s="1981">
        <f t="shared" si="330"/>
        <v>1.2741935483870968</v>
      </c>
    </row>
    <row r="1642" spans="1:7" ht="18.75" hidden="1" customHeight="1">
      <c r="A1642" s="848"/>
      <c r="B1642" s="974"/>
      <c r="C1642" s="1985" t="s">
        <v>651</v>
      </c>
      <c r="D1642" s="1986" t="s">
        <v>538</v>
      </c>
      <c r="E1642" s="1984">
        <v>2529</v>
      </c>
      <c r="F1642" s="1980">
        <v>0</v>
      </c>
      <c r="G1642" s="1981">
        <f t="shared" si="330"/>
        <v>0</v>
      </c>
    </row>
    <row r="1643" spans="1:7" ht="18.75" hidden="1" customHeight="1">
      <c r="A1643" s="848"/>
      <c r="B1643" s="974"/>
      <c r="C1643" s="1982" t="s">
        <v>605</v>
      </c>
      <c r="D1643" s="1986" t="s">
        <v>538</v>
      </c>
      <c r="E1643" s="1984">
        <v>471</v>
      </c>
      <c r="F1643" s="1980">
        <v>0</v>
      </c>
      <c r="G1643" s="1981">
        <f t="shared" si="330"/>
        <v>0</v>
      </c>
    </row>
    <row r="1644" spans="1:7" ht="18" hidden="1" customHeight="1">
      <c r="A1644" s="848"/>
      <c r="B1644" s="974"/>
      <c r="C1644" s="1982" t="s">
        <v>899</v>
      </c>
      <c r="D1644" s="1983" t="s">
        <v>546</v>
      </c>
      <c r="E1644" s="1984">
        <v>84</v>
      </c>
      <c r="F1644" s="1980">
        <v>0</v>
      </c>
      <c r="G1644" s="1981">
        <f t="shared" si="330"/>
        <v>0</v>
      </c>
    </row>
    <row r="1645" spans="1:7" ht="17.25" hidden="1" customHeight="1">
      <c r="A1645" s="848"/>
      <c r="B1645" s="974"/>
      <c r="C1645" s="1982" t="s">
        <v>749</v>
      </c>
      <c r="D1645" s="1983" t="s">
        <v>546</v>
      </c>
      <c r="E1645" s="1984">
        <v>16</v>
      </c>
      <c r="F1645" s="1980">
        <v>0</v>
      </c>
      <c r="G1645" s="1981">
        <f t="shared" si="330"/>
        <v>0</v>
      </c>
    </row>
    <row r="1646" spans="1:7" ht="18.75" hidden="1" customHeight="1">
      <c r="A1646" s="848"/>
      <c r="B1646" s="974"/>
      <c r="C1646" s="1982" t="s">
        <v>652</v>
      </c>
      <c r="D1646" s="1983" t="s">
        <v>548</v>
      </c>
      <c r="E1646" s="1984">
        <v>3076</v>
      </c>
      <c r="F1646" s="1980">
        <v>0</v>
      </c>
      <c r="G1646" s="1981">
        <f t="shared" si="330"/>
        <v>0</v>
      </c>
    </row>
    <row r="1647" spans="1:7" ht="18" hidden="1" customHeight="1">
      <c r="A1647" s="848"/>
      <c r="B1647" s="974"/>
      <c r="C1647" s="1982" t="s">
        <v>609</v>
      </c>
      <c r="D1647" s="1983" t="s">
        <v>548</v>
      </c>
      <c r="E1647" s="1980">
        <v>574</v>
      </c>
      <c r="F1647" s="1980">
        <v>0</v>
      </c>
      <c r="G1647" s="1981">
        <f t="shared" si="330"/>
        <v>0</v>
      </c>
    </row>
    <row r="1648" spans="1:7" ht="18" customHeight="1">
      <c r="A1648" s="848"/>
      <c r="B1648" s="974"/>
      <c r="C1648" s="1982" t="s">
        <v>653</v>
      </c>
      <c r="D1648" s="1983" t="s">
        <v>556</v>
      </c>
      <c r="E1648" s="1984">
        <v>1054</v>
      </c>
      <c r="F1648" s="1980">
        <v>1275</v>
      </c>
      <c r="G1648" s="1981">
        <f t="shared" si="330"/>
        <v>1.2096774193548387</v>
      </c>
    </row>
    <row r="1649" spans="1:7" ht="18.75" customHeight="1">
      <c r="A1649" s="848"/>
      <c r="B1649" s="974"/>
      <c r="C1649" s="1982" t="s">
        <v>613</v>
      </c>
      <c r="D1649" s="1983" t="s">
        <v>556</v>
      </c>
      <c r="E1649" s="1980">
        <v>196</v>
      </c>
      <c r="F1649" s="1980">
        <v>237</v>
      </c>
      <c r="G1649" s="1981">
        <f t="shared" si="330"/>
        <v>1.2091836734693877</v>
      </c>
    </row>
    <row r="1650" spans="1:7" ht="16.5" customHeight="1">
      <c r="A1650" s="848"/>
      <c r="B1650" s="974"/>
      <c r="C1650" s="1985" t="s">
        <v>901</v>
      </c>
      <c r="D1650" s="1986" t="s">
        <v>560</v>
      </c>
      <c r="E1650" s="1984">
        <v>843</v>
      </c>
      <c r="F1650" s="1980">
        <v>1000</v>
      </c>
      <c r="G1650" s="1981">
        <f t="shared" si="330"/>
        <v>1.1862396204033214</v>
      </c>
    </row>
    <row r="1651" spans="1:7" ht="16.5" customHeight="1" thickBot="1">
      <c r="A1651" s="848"/>
      <c r="B1651" s="974"/>
      <c r="C1651" s="1987" t="s">
        <v>902</v>
      </c>
      <c r="D1651" s="1986" t="s">
        <v>560</v>
      </c>
      <c r="E1651" s="1980">
        <v>157</v>
      </c>
      <c r="F1651" s="1980">
        <v>188</v>
      </c>
      <c r="G1651" s="1981">
        <f t="shared" si="330"/>
        <v>1.197452229299363</v>
      </c>
    </row>
    <row r="1652" spans="1:7" ht="13.5" hidden="1" customHeight="1">
      <c r="A1652" s="848"/>
      <c r="B1652" s="974"/>
      <c r="C1652" s="2849"/>
      <c r="D1652" s="2850"/>
      <c r="E1652" s="962"/>
      <c r="F1652" s="962"/>
      <c r="G1652" s="963"/>
    </row>
    <row r="1653" spans="1:7" ht="16.5" hidden="1" customHeight="1">
      <c r="A1653" s="848"/>
      <c r="B1653" s="974"/>
      <c r="C1653" s="2851" t="s">
        <v>574</v>
      </c>
      <c r="D1653" s="2851"/>
      <c r="E1653" s="1988">
        <f>E1654</f>
        <v>30463</v>
      </c>
      <c r="F1653" s="1988">
        <f t="shared" ref="F1653" si="332">F1654</f>
        <v>0</v>
      </c>
      <c r="G1653" s="1989">
        <f t="shared" si="330"/>
        <v>0</v>
      </c>
    </row>
    <row r="1654" spans="1:7" ht="16.5" hidden="1" customHeight="1">
      <c r="A1654" s="848"/>
      <c r="B1654" s="974"/>
      <c r="C1654" s="2844" t="s">
        <v>575</v>
      </c>
      <c r="D1654" s="2844"/>
      <c r="E1654" s="1984">
        <f>SUM(E1655:E1656)</f>
        <v>30463</v>
      </c>
      <c r="F1654" s="1984">
        <f t="shared" ref="F1654" si="333">SUM(F1655:F1656)</f>
        <v>0</v>
      </c>
      <c r="G1654" s="1990">
        <f t="shared" si="330"/>
        <v>0</v>
      </c>
    </row>
    <row r="1655" spans="1:7" ht="54.75" hidden="1" customHeight="1">
      <c r="A1655" s="848"/>
      <c r="B1655" s="974"/>
      <c r="C1655" s="1982" t="s">
        <v>659</v>
      </c>
      <c r="D1655" s="1983" t="s">
        <v>660</v>
      </c>
      <c r="E1655" s="1991">
        <v>16222</v>
      </c>
      <c r="F1655" s="1991">
        <v>0</v>
      </c>
      <c r="G1655" s="1992">
        <f t="shared" si="330"/>
        <v>0</v>
      </c>
    </row>
    <row r="1656" spans="1:7" ht="28.5" hidden="1" customHeight="1" thickBot="1">
      <c r="A1656" s="848"/>
      <c r="B1656" s="974"/>
      <c r="C1656" s="1982" t="s">
        <v>433</v>
      </c>
      <c r="D1656" s="1983" t="s">
        <v>761</v>
      </c>
      <c r="E1656" s="1991">
        <v>14241</v>
      </c>
      <c r="F1656" s="1991">
        <v>0</v>
      </c>
      <c r="G1656" s="1992">
        <f t="shared" si="330"/>
        <v>0</v>
      </c>
    </row>
    <row r="1657" spans="1:7" ht="17.100000000000001" customHeight="1" thickBot="1">
      <c r="A1657" s="842" t="s">
        <v>165</v>
      </c>
      <c r="B1657" s="1205"/>
      <c r="C1657" s="1206"/>
      <c r="D1657" s="1207" t="s">
        <v>917</v>
      </c>
      <c r="E1657" s="1208">
        <f>SUM(E1658,E1678,E1704)</f>
        <v>4885619</v>
      </c>
      <c r="F1657" s="1208">
        <f t="shared" ref="F1657" si="334">SUM(F1658,F1678,F1704)</f>
        <v>3067339</v>
      </c>
      <c r="G1657" s="1209">
        <f t="shared" si="330"/>
        <v>0.62783016850065465</v>
      </c>
    </row>
    <row r="1658" spans="1:7" ht="17.100000000000001" customHeight="1" thickBot="1">
      <c r="A1658" s="848"/>
      <c r="B1658" s="1072" t="s">
        <v>918</v>
      </c>
      <c r="C1658" s="1073"/>
      <c r="D1658" s="1074" t="s">
        <v>919</v>
      </c>
      <c r="E1658" s="1075">
        <f t="shared" ref="E1658:F1658" si="335">E1659</f>
        <v>824119</v>
      </c>
      <c r="F1658" s="1075">
        <f t="shared" si="335"/>
        <v>821339</v>
      </c>
      <c r="G1658" s="1076">
        <f t="shared" si="330"/>
        <v>0.99662670075559479</v>
      </c>
    </row>
    <row r="1659" spans="1:7" ht="17.100000000000001" customHeight="1">
      <c r="A1659" s="848"/>
      <c r="B1659" s="860"/>
      <c r="C1659" s="2768" t="s">
        <v>521</v>
      </c>
      <c r="D1659" s="2769"/>
      <c r="E1659" s="854">
        <f t="shared" ref="E1659:F1659" si="336">E1660+E1676</f>
        <v>824119</v>
      </c>
      <c r="F1659" s="854">
        <f t="shared" si="336"/>
        <v>821339</v>
      </c>
      <c r="G1659" s="855">
        <f t="shared" si="330"/>
        <v>0.99662670075559479</v>
      </c>
    </row>
    <row r="1660" spans="1:7" ht="17.100000000000001" customHeight="1">
      <c r="A1660" s="848"/>
      <c r="B1660" s="860"/>
      <c r="C1660" s="2852" t="s">
        <v>522</v>
      </c>
      <c r="D1660" s="2852"/>
      <c r="E1660" s="1977">
        <f t="shared" ref="E1660:F1660" si="337">E1661+E1667</f>
        <v>820561</v>
      </c>
      <c r="F1660" s="1977">
        <f t="shared" si="337"/>
        <v>817896</v>
      </c>
      <c r="G1660" s="1992">
        <f t="shared" si="330"/>
        <v>0.99675222195546709</v>
      </c>
    </row>
    <row r="1661" spans="1:7" ht="17.100000000000001" customHeight="1">
      <c r="A1661" s="848"/>
      <c r="B1661" s="860"/>
      <c r="C1661" s="2788" t="s">
        <v>523</v>
      </c>
      <c r="D1661" s="2788"/>
      <c r="E1661" s="1977">
        <f t="shared" ref="E1661:F1661" si="338">SUM(E1662:E1665)</f>
        <v>696907</v>
      </c>
      <c r="F1661" s="1977">
        <f t="shared" si="338"/>
        <v>694114</v>
      </c>
      <c r="G1661" s="1992">
        <f t="shared" si="330"/>
        <v>0.99599229165441017</v>
      </c>
    </row>
    <row r="1662" spans="1:7" ht="17.100000000000001" customHeight="1">
      <c r="A1662" s="848"/>
      <c r="B1662" s="860"/>
      <c r="C1662" s="1982" t="s">
        <v>524</v>
      </c>
      <c r="D1662" s="1983" t="s">
        <v>525</v>
      </c>
      <c r="E1662" s="1977">
        <v>542057</v>
      </c>
      <c r="F1662" s="1977">
        <v>534803</v>
      </c>
      <c r="G1662" s="1992">
        <f t="shared" si="330"/>
        <v>0.98661764353195325</v>
      </c>
    </row>
    <row r="1663" spans="1:7" ht="17.100000000000001" customHeight="1">
      <c r="A1663" s="848"/>
      <c r="B1663" s="860"/>
      <c r="C1663" s="1982" t="s">
        <v>526</v>
      </c>
      <c r="D1663" s="1983" t="s">
        <v>527</v>
      </c>
      <c r="E1663" s="1977">
        <v>41426</v>
      </c>
      <c r="F1663" s="1977">
        <v>45366</v>
      </c>
      <c r="G1663" s="1992">
        <f t="shared" si="330"/>
        <v>1.0951093516149277</v>
      </c>
    </row>
    <row r="1664" spans="1:7" ht="17.100000000000001" customHeight="1">
      <c r="A1664" s="848"/>
      <c r="B1664" s="860"/>
      <c r="C1664" s="1982" t="s">
        <v>528</v>
      </c>
      <c r="D1664" s="1983" t="s">
        <v>529</v>
      </c>
      <c r="E1664" s="1977">
        <v>99274</v>
      </c>
      <c r="F1664" s="1977">
        <v>99732</v>
      </c>
      <c r="G1664" s="1992">
        <f t="shared" si="330"/>
        <v>1.0046134939661946</v>
      </c>
    </row>
    <row r="1665" spans="1:7" ht="17.100000000000001" customHeight="1">
      <c r="A1665" s="848"/>
      <c r="B1665" s="860"/>
      <c r="C1665" s="1982" t="s">
        <v>530</v>
      </c>
      <c r="D1665" s="1983" t="s">
        <v>531</v>
      </c>
      <c r="E1665" s="1977">
        <v>14150</v>
      </c>
      <c r="F1665" s="1977">
        <v>14213</v>
      </c>
      <c r="G1665" s="1992">
        <f t="shared" si="330"/>
        <v>1.004452296819788</v>
      </c>
    </row>
    <row r="1666" spans="1:7" ht="17.100000000000001" customHeight="1">
      <c r="A1666" s="848"/>
      <c r="B1666" s="860"/>
      <c r="C1666" s="999"/>
      <c r="D1666" s="999"/>
      <c r="E1666" s="882"/>
      <c r="F1666" s="882"/>
      <c r="G1666" s="883"/>
    </row>
    <row r="1667" spans="1:7" ht="17.100000000000001" customHeight="1">
      <c r="A1667" s="848"/>
      <c r="B1667" s="860"/>
      <c r="C1667" s="2846" t="s">
        <v>534</v>
      </c>
      <c r="D1667" s="2846"/>
      <c r="E1667" s="1977">
        <f t="shared" ref="E1667:F1667" si="339">SUM(E1668:E1674)</f>
        <v>123654</v>
      </c>
      <c r="F1667" s="1977">
        <f t="shared" si="339"/>
        <v>123782</v>
      </c>
      <c r="G1667" s="1992">
        <f t="shared" si="330"/>
        <v>1.0010351464570495</v>
      </c>
    </row>
    <row r="1668" spans="1:7" ht="17.100000000000001" customHeight="1">
      <c r="A1668" s="848"/>
      <c r="B1668" s="860"/>
      <c r="C1668" s="1982" t="s">
        <v>537</v>
      </c>
      <c r="D1668" s="1983" t="s">
        <v>538</v>
      </c>
      <c r="E1668" s="1977">
        <v>51287</v>
      </c>
      <c r="F1668" s="1977">
        <v>51580</v>
      </c>
      <c r="G1668" s="1992">
        <f t="shared" si="330"/>
        <v>1.0057129487004504</v>
      </c>
    </row>
    <row r="1669" spans="1:7" ht="17.100000000000001" customHeight="1">
      <c r="A1669" s="848"/>
      <c r="B1669" s="860"/>
      <c r="C1669" s="1982" t="s">
        <v>541</v>
      </c>
      <c r="D1669" s="1983" t="s">
        <v>542</v>
      </c>
      <c r="E1669" s="1977">
        <v>39789</v>
      </c>
      <c r="F1669" s="1977">
        <v>40711</v>
      </c>
      <c r="G1669" s="1992">
        <f t="shared" si="330"/>
        <v>1.0231722335318807</v>
      </c>
    </row>
    <row r="1670" spans="1:7" ht="17.100000000000001" customHeight="1">
      <c r="A1670" s="848"/>
      <c r="B1670" s="860"/>
      <c r="C1670" s="1982" t="s">
        <v>545</v>
      </c>
      <c r="D1670" s="1983" t="s">
        <v>546</v>
      </c>
      <c r="E1670" s="1977">
        <v>1576</v>
      </c>
      <c r="F1670" s="1977">
        <v>1576</v>
      </c>
      <c r="G1670" s="1992">
        <f t="shared" si="330"/>
        <v>1</v>
      </c>
    </row>
    <row r="1671" spans="1:7" ht="17.100000000000001" customHeight="1">
      <c r="A1671" s="848"/>
      <c r="B1671" s="860"/>
      <c r="C1671" s="1982" t="s">
        <v>547</v>
      </c>
      <c r="D1671" s="1983" t="s">
        <v>548</v>
      </c>
      <c r="E1671" s="1977">
        <v>3294</v>
      </c>
      <c r="F1671" s="1977">
        <v>3393</v>
      </c>
      <c r="G1671" s="1992">
        <f t="shared" si="330"/>
        <v>1.0300546448087431</v>
      </c>
    </row>
    <row r="1672" spans="1:7" ht="16.5" customHeight="1">
      <c r="A1672" s="848"/>
      <c r="B1672" s="2830"/>
      <c r="C1672" s="1982" t="s">
        <v>549</v>
      </c>
      <c r="D1672" s="1983" t="s">
        <v>717</v>
      </c>
      <c r="E1672" s="1977">
        <v>620</v>
      </c>
      <c r="F1672" s="1977">
        <v>620</v>
      </c>
      <c r="G1672" s="1992">
        <f t="shared" si="330"/>
        <v>1</v>
      </c>
    </row>
    <row r="1673" spans="1:7" ht="17.100000000000001" customHeight="1">
      <c r="A1673" s="848"/>
      <c r="B1673" s="2830"/>
      <c r="C1673" s="1985" t="s">
        <v>559</v>
      </c>
      <c r="D1673" s="1986" t="s">
        <v>560</v>
      </c>
      <c r="E1673" s="1977">
        <v>25494</v>
      </c>
      <c r="F1673" s="1977">
        <v>24308</v>
      </c>
      <c r="G1673" s="1992">
        <f t="shared" si="330"/>
        <v>0.95347925001961242</v>
      </c>
    </row>
    <row r="1674" spans="1:7" ht="17.100000000000001" customHeight="1">
      <c r="A1674" s="848"/>
      <c r="B1674" s="2830"/>
      <c r="C1674" s="1993" t="s">
        <v>565</v>
      </c>
      <c r="D1674" s="1994" t="s">
        <v>920</v>
      </c>
      <c r="E1674" s="1977">
        <v>1594</v>
      </c>
      <c r="F1674" s="1977">
        <v>1594</v>
      </c>
      <c r="G1674" s="1978">
        <f t="shared" si="330"/>
        <v>1</v>
      </c>
    </row>
    <row r="1675" spans="1:7" ht="17.100000000000001" customHeight="1">
      <c r="A1675" s="848"/>
      <c r="B1675" s="2830"/>
      <c r="C1675" s="1995"/>
      <c r="D1675" s="1996"/>
      <c r="E1675" s="1997"/>
      <c r="F1675" s="1997"/>
      <c r="G1675" s="1998"/>
    </row>
    <row r="1676" spans="1:7" ht="17.100000000000001" customHeight="1">
      <c r="A1676" s="848"/>
      <c r="B1676" s="2830"/>
      <c r="C1676" s="2828" t="s">
        <v>571</v>
      </c>
      <c r="D1676" s="2828"/>
      <c r="E1676" s="1190">
        <f t="shared" ref="E1676:F1676" si="340">E1677</f>
        <v>3558</v>
      </c>
      <c r="F1676" s="1190">
        <f t="shared" si="340"/>
        <v>3443</v>
      </c>
      <c r="G1676" s="1191">
        <f t="shared" si="330"/>
        <v>0.96767847105115234</v>
      </c>
    </row>
    <row r="1677" spans="1:7" ht="17.100000000000001" customHeight="1" thickBot="1">
      <c r="A1677" s="848"/>
      <c r="B1677" s="2830"/>
      <c r="C1677" s="1985" t="s">
        <v>572</v>
      </c>
      <c r="D1677" s="1986" t="s">
        <v>573</v>
      </c>
      <c r="E1677" s="1984">
        <v>3558</v>
      </c>
      <c r="F1677" s="1984">
        <v>3443</v>
      </c>
      <c r="G1677" s="1990">
        <f t="shared" si="330"/>
        <v>0.96767847105115234</v>
      </c>
    </row>
    <row r="1678" spans="1:7" ht="17.100000000000001" customHeight="1" thickBot="1">
      <c r="A1678" s="848"/>
      <c r="B1678" s="1072" t="s">
        <v>921</v>
      </c>
      <c r="C1678" s="1073"/>
      <c r="D1678" s="1074" t="s">
        <v>922</v>
      </c>
      <c r="E1678" s="1075">
        <f t="shared" ref="E1678:F1679" si="341">E1679</f>
        <v>4011500</v>
      </c>
      <c r="F1678" s="1075">
        <f t="shared" si="341"/>
        <v>1896000</v>
      </c>
      <c r="G1678" s="1076">
        <f t="shared" si="330"/>
        <v>0.47264115667456064</v>
      </c>
    </row>
    <row r="1679" spans="1:7" ht="17.100000000000001" customHeight="1">
      <c r="A1679" s="848"/>
      <c r="B1679" s="2806"/>
      <c r="C1679" s="2802" t="s">
        <v>521</v>
      </c>
      <c r="D1679" s="2802"/>
      <c r="E1679" s="854">
        <f t="shared" si="341"/>
        <v>4011500</v>
      </c>
      <c r="F1679" s="854">
        <f t="shared" si="341"/>
        <v>1896000</v>
      </c>
      <c r="G1679" s="855">
        <f t="shared" si="330"/>
        <v>0.47264115667456064</v>
      </c>
    </row>
    <row r="1680" spans="1:7" ht="17.100000000000001" customHeight="1">
      <c r="A1680" s="848"/>
      <c r="B1680" s="2806"/>
      <c r="C1680" s="2847" t="s">
        <v>587</v>
      </c>
      <c r="D1680" s="2847"/>
      <c r="E1680" s="1977">
        <f>SUM(E1681:E1703)</f>
        <v>4011500</v>
      </c>
      <c r="F1680" s="1977">
        <f t="shared" ref="F1680" si="342">SUM(F1681:F1703)</f>
        <v>1896000</v>
      </c>
      <c r="G1680" s="1978">
        <f t="shared" si="330"/>
        <v>0.47264115667456064</v>
      </c>
    </row>
    <row r="1681" spans="1:7" ht="19.5" customHeight="1">
      <c r="A1681" s="848"/>
      <c r="B1681" s="2806"/>
      <c r="C1681" s="1982" t="s">
        <v>833</v>
      </c>
      <c r="D1681" s="1983" t="s">
        <v>832</v>
      </c>
      <c r="E1681" s="1977">
        <v>3000500</v>
      </c>
      <c r="F1681" s="1977">
        <v>1343000</v>
      </c>
      <c r="G1681" s="1978">
        <f t="shared" si="330"/>
        <v>0.44759206798866857</v>
      </c>
    </row>
    <row r="1682" spans="1:7" ht="17.100000000000001" customHeight="1">
      <c r="A1682" s="848"/>
      <c r="B1682" s="860"/>
      <c r="C1682" s="1982" t="s">
        <v>834</v>
      </c>
      <c r="D1682" s="1983" t="s">
        <v>832</v>
      </c>
      <c r="E1682" s="1977">
        <v>529500</v>
      </c>
      <c r="F1682" s="1977">
        <v>237000</v>
      </c>
      <c r="G1682" s="1978">
        <f t="shared" si="330"/>
        <v>0.44759206798866857</v>
      </c>
    </row>
    <row r="1683" spans="1:7" ht="17.100000000000001" hidden="1" customHeight="1">
      <c r="A1683" s="848"/>
      <c r="B1683" s="860"/>
      <c r="C1683" s="1982" t="s">
        <v>647</v>
      </c>
      <c r="D1683" s="1983" t="s">
        <v>525</v>
      </c>
      <c r="E1683" s="1977"/>
      <c r="F1683" s="1977"/>
      <c r="G1683" s="1978" t="e">
        <f t="shared" si="330"/>
        <v>#DIV/0!</v>
      </c>
    </row>
    <row r="1684" spans="1:7" ht="17.100000000000001" customHeight="1">
      <c r="A1684" s="848"/>
      <c r="B1684" s="860"/>
      <c r="C1684" s="1982" t="s">
        <v>647</v>
      </c>
      <c r="D1684" s="1983" t="s">
        <v>525</v>
      </c>
      <c r="E1684" s="1977">
        <v>307392</v>
      </c>
      <c r="F1684" s="1977">
        <v>201736</v>
      </c>
      <c r="G1684" s="1978">
        <f t="shared" si="330"/>
        <v>0.65628253175098894</v>
      </c>
    </row>
    <row r="1685" spans="1:7" ht="17.100000000000001" customHeight="1">
      <c r="A1685" s="848"/>
      <c r="B1685" s="860"/>
      <c r="C1685" s="1982" t="s">
        <v>592</v>
      </c>
      <c r="D1685" s="1983" t="s">
        <v>525</v>
      </c>
      <c r="E1685" s="1977">
        <v>54247</v>
      </c>
      <c r="F1685" s="1977">
        <v>35601</v>
      </c>
      <c r="G1685" s="1978">
        <f t="shared" si="330"/>
        <v>0.65627592309252125</v>
      </c>
    </row>
    <row r="1686" spans="1:7" ht="17.100000000000001" hidden="1" customHeight="1">
      <c r="A1686" s="848"/>
      <c r="B1686" s="860"/>
      <c r="C1686" s="1982" t="s">
        <v>649</v>
      </c>
      <c r="D1686" s="1983" t="s">
        <v>529</v>
      </c>
      <c r="E1686" s="1977"/>
      <c r="F1686" s="1977"/>
      <c r="G1686" s="1978" t="e">
        <f t="shared" si="330"/>
        <v>#DIV/0!</v>
      </c>
    </row>
    <row r="1687" spans="1:7" ht="17.100000000000001" customHeight="1">
      <c r="A1687" s="848"/>
      <c r="B1687" s="860"/>
      <c r="C1687" s="1982" t="s">
        <v>649</v>
      </c>
      <c r="D1687" s="1983" t="s">
        <v>529</v>
      </c>
      <c r="E1687" s="1977">
        <v>53424</v>
      </c>
      <c r="F1687" s="1977">
        <v>35062</v>
      </c>
      <c r="G1687" s="1978">
        <f t="shared" si="330"/>
        <v>0.65629679544773889</v>
      </c>
    </row>
    <row r="1688" spans="1:7" ht="17.100000000000001" customHeight="1">
      <c r="A1688" s="848"/>
      <c r="B1688" s="860"/>
      <c r="C1688" s="1982" t="s">
        <v>596</v>
      </c>
      <c r="D1688" s="1983" t="s">
        <v>529</v>
      </c>
      <c r="E1688" s="1977">
        <v>9428</v>
      </c>
      <c r="F1688" s="1977">
        <v>6187</v>
      </c>
      <c r="G1688" s="1978">
        <f t="shared" si="330"/>
        <v>0.65623674162070433</v>
      </c>
    </row>
    <row r="1689" spans="1:7" ht="17.100000000000001" hidden="1" customHeight="1">
      <c r="A1689" s="848"/>
      <c r="B1689" s="860"/>
      <c r="C1689" s="1982" t="s">
        <v>650</v>
      </c>
      <c r="D1689" s="1983" t="s">
        <v>531</v>
      </c>
      <c r="E1689" s="1977"/>
      <c r="F1689" s="1977"/>
      <c r="G1689" s="1978" t="e">
        <f t="shared" si="330"/>
        <v>#DIV/0!</v>
      </c>
    </row>
    <row r="1690" spans="1:7" ht="17.100000000000001" customHeight="1">
      <c r="A1690" s="848"/>
      <c r="B1690" s="860"/>
      <c r="C1690" s="1982" t="s">
        <v>650</v>
      </c>
      <c r="D1690" s="1983" t="s">
        <v>531</v>
      </c>
      <c r="E1690" s="1977">
        <v>7531</v>
      </c>
      <c r="F1690" s="1977">
        <v>4942</v>
      </c>
      <c r="G1690" s="1978">
        <f t="shared" si="330"/>
        <v>0.65622095339264375</v>
      </c>
    </row>
    <row r="1691" spans="1:7" ht="17.100000000000001" customHeight="1">
      <c r="A1691" s="848"/>
      <c r="B1691" s="860"/>
      <c r="C1691" s="1982" t="s">
        <v>598</v>
      </c>
      <c r="D1691" s="1983" t="s">
        <v>531</v>
      </c>
      <c r="E1691" s="1977">
        <v>1328</v>
      </c>
      <c r="F1691" s="1977">
        <v>872</v>
      </c>
      <c r="G1691" s="1978">
        <f t="shared" si="330"/>
        <v>0.65662650602409633</v>
      </c>
    </row>
    <row r="1692" spans="1:7" ht="17.100000000000001" hidden="1" customHeight="1">
      <c r="A1692" s="848"/>
      <c r="B1692" s="860"/>
      <c r="C1692" s="1982" t="s">
        <v>726</v>
      </c>
      <c r="D1692" s="1983" t="s">
        <v>533</v>
      </c>
      <c r="E1692" s="1977"/>
      <c r="F1692" s="1977"/>
      <c r="G1692" s="1978" t="e">
        <f t="shared" si="330"/>
        <v>#DIV/0!</v>
      </c>
    </row>
    <row r="1693" spans="1:7" ht="17.100000000000001" hidden="1" customHeight="1">
      <c r="A1693" s="848"/>
      <c r="B1693" s="860"/>
      <c r="C1693" s="1982" t="s">
        <v>600</v>
      </c>
      <c r="D1693" s="1983" t="s">
        <v>533</v>
      </c>
      <c r="E1693" s="1977"/>
      <c r="F1693" s="1977"/>
      <c r="G1693" s="1978" t="e">
        <f t="shared" si="330"/>
        <v>#DIV/0!</v>
      </c>
    </row>
    <row r="1694" spans="1:7" ht="17.100000000000001" hidden="1" customHeight="1">
      <c r="A1694" s="848"/>
      <c r="B1694" s="860"/>
      <c r="C1694" s="1982" t="s">
        <v>651</v>
      </c>
      <c r="D1694" s="1983" t="s">
        <v>538</v>
      </c>
      <c r="E1694" s="1977"/>
      <c r="F1694" s="1977"/>
      <c r="G1694" s="1978" t="e">
        <f t="shared" si="330"/>
        <v>#DIV/0!</v>
      </c>
    </row>
    <row r="1695" spans="1:7" ht="17.100000000000001" customHeight="1">
      <c r="A1695" s="848"/>
      <c r="B1695" s="860"/>
      <c r="C1695" s="1982" t="s">
        <v>651</v>
      </c>
      <c r="D1695" s="1983" t="s">
        <v>538</v>
      </c>
      <c r="E1695" s="1977">
        <v>24557</v>
      </c>
      <c r="F1695" s="1977">
        <v>16116</v>
      </c>
      <c r="G1695" s="1978">
        <f t="shared" ref="G1695:G1760" si="343">F1695/E1695</f>
        <v>0.65626908824367802</v>
      </c>
    </row>
    <row r="1696" spans="1:7" ht="17.100000000000001" customHeight="1">
      <c r="A1696" s="848"/>
      <c r="B1696" s="860"/>
      <c r="C1696" s="1982" t="s">
        <v>605</v>
      </c>
      <c r="D1696" s="1983" t="s">
        <v>538</v>
      </c>
      <c r="E1696" s="1977">
        <v>4333</v>
      </c>
      <c r="F1696" s="1977">
        <v>2844</v>
      </c>
      <c r="G1696" s="1978">
        <f t="shared" si="343"/>
        <v>0.65635818139856916</v>
      </c>
    </row>
    <row r="1697" spans="1:7" ht="17.100000000000001" customHeight="1">
      <c r="A1697" s="848"/>
      <c r="B1697" s="860"/>
      <c r="C1697" s="1982" t="s">
        <v>841</v>
      </c>
      <c r="D1697" s="1983" t="s">
        <v>542</v>
      </c>
      <c r="E1697" s="1977">
        <v>8186</v>
      </c>
      <c r="F1697" s="1977">
        <v>5372</v>
      </c>
      <c r="G1697" s="1978">
        <f t="shared" si="343"/>
        <v>0.65624236501343758</v>
      </c>
    </row>
    <row r="1698" spans="1:7" ht="17.100000000000001" customHeight="1">
      <c r="A1698" s="848"/>
      <c r="B1698" s="860"/>
      <c r="C1698" s="1982" t="s">
        <v>747</v>
      </c>
      <c r="D1698" s="1983" t="s">
        <v>542</v>
      </c>
      <c r="E1698" s="1977">
        <v>1444</v>
      </c>
      <c r="F1698" s="1977">
        <v>948</v>
      </c>
      <c r="G1698" s="1978">
        <f t="shared" si="343"/>
        <v>0.65650969529085867</v>
      </c>
    </row>
    <row r="1699" spans="1:7" ht="17.100000000000001" customHeight="1">
      <c r="A1699" s="848"/>
      <c r="B1699" s="860"/>
      <c r="C1699" s="1982" t="s">
        <v>652</v>
      </c>
      <c r="D1699" s="1983" t="s">
        <v>548</v>
      </c>
      <c r="E1699" s="1977">
        <v>4093</v>
      </c>
      <c r="F1699" s="1977">
        <v>2686</v>
      </c>
      <c r="G1699" s="1978">
        <f t="shared" si="343"/>
        <v>0.65624236501343758</v>
      </c>
    </row>
    <row r="1700" spans="1:7" ht="17.100000000000001" customHeight="1">
      <c r="A1700" s="848"/>
      <c r="B1700" s="860"/>
      <c r="C1700" s="1982" t="s">
        <v>609</v>
      </c>
      <c r="D1700" s="1983" t="s">
        <v>548</v>
      </c>
      <c r="E1700" s="1977">
        <v>722</v>
      </c>
      <c r="F1700" s="1977">
        <v>474</v>
      </c>
      <c r="G1700" s="1978">
        <f t="shared" si="343"/>
        <v>0.65650969529085867</v>
      </c>
    </row>
    <row r="1701" spans="1:7" ht="17.100000000000001" customHeight="1">
      <c r="A1701" s="848"/>
      <c r="B1701" s="860"/>
      <c r="C1701" s="1982" t="s">
        <v>845</v>
      </c>
      <c r="D1701" s="1983" t="s">
        <v>717</v>
      </c>
      <c r="E1701" s="1977">
        <v>4092</v>
      </c>
      <c r="F1701" s="1977">
        <v>2686</v>
      </c>
      <c r="G1701" s="1978">
        <f t="shared" si="343"/>
        <v>0.65640273704789831</v>
      </c>
    </row>
    <row r="1702" spans="1:7" ht="17.100000000000001" customHeight="1" thickBot="1">
      <c r="A1702" s="848"/>
      <c r="B1702" s="860"/>
      <c r="C1702" s="1982" t="s">
        <v>774</v>
      </c>
      <c r="D1702" s="1983" t="s">
        <v>717</v>
      </c>
      <c r="E1702" s="1977">
        <v>723</v>
      </c>
      <c r="F1702" s="1977">
        <v>474</v>
      </c>
      <c r="G1702" s="1978">
        <f t="shared" si="343"/>
        <v>0.65560165975103735</v>
      </c>
    </row>
    <row r="1703" spans="1:7" ht="17.100000000000001" hidden="1" customHeight="1">
      <c r="A1703" s="848"/>
      <c r="B1703" s="860"/>
      <c r="C1703" s="1982" t="s">
        <v>729</v>
      </c>
      <c r="D1703" s="1983" t="s">
        <v>552</v>
      </c>
      <c r="E1703" s="1984"/>
      <c r="F1703" s="1984"/>
      <c r="G1703" s="1990" t="e">
        <f t="shared" si="343"/>
        <v>#DIV/0!</v>
      </c>
    </row>
    <row r="1704" spans="1:7" ht="17.100000000000001" customHeight="1" thickBot="1">
      <c r="A1704" s="848"/>
      <c r="B1704" s="1072" t="s">
        <v>166</v>
      </c>
      <c r="C1704" s="1073"/>
      <c r="D1704" s="1074" t="s">
        <v>923</v>
      </c>
      <c r="E1704" s="1274">
        <f>E1705</f>
        <v>50000</v>
      </c>
      <c r="F1704" s="1274">
        <f t="shared" ref="F1704:F1706" si="344">F1705</f>
        <v>350000</v>
      </c>
      <c r="G1704" s="1275">
        <f t="shared" si="343"/>
        <v>7</v>
      </c>
    </row>
    <row r="1705" spans="1:7" ht="17.100000000000001" customHeight="1">
      <c r="A1705" s="848"/>
      <c r="B1705" s="2806"/>
      <c r="C1705" s="2802" t="s">
        <v>574</v>
      </c>
      <c r="D1705" s="2802"/>
      <c r="E1705" s="1875">
        <f>E1706</f>
        <v>50000</v>
      </c>
      <c r="F1705" s="1875">
        <f t="shared" si="344"/>
        <v>350000</v>
      </c>
      <c r="G1705" s="1876">
        <f t="shared" si="343"/>
        <v>7</v>
      </c>
    </row>
    <row r="1706" spans="1:7" ht="17.100000000000001" customHeight="1">
      <c r="A1706" s="848"/>
      <c r="B1706" s="2806"/>
      <c r="C1706" s="2844" t="s">
        <v>575</v>
      </c>
      <c r="D1706" s="2845"/>
      <c r="E1706" s="1977">
        <f>E1707</f>
        <v>50000</v>
      </c>
      <c r="F1706" s="1977">
        <f t="shared" si="344"/>
        <v>350000</v>
      </c>
      <c r="G1706" s="1978">
        <f t="shared" si="343"/>
        <v>7</v>
      </c>
    </row>
    <row r="1707" spans="1:7" ht="41.25" customHeight="1" thickBot="1">
      <c r="A1707" s="848"/>
      <c r="B1707" s="2806"/>
      <c r="C1707" s="1982" t="s">
        <v>695</v>
      </c>
      <c r="D1707" s="1983" t="s">
        <v>696</v>
      </c>
      <c r="E1707" s="1977">
        <v>50000</v>
      </c>
      <c r="F1707" s="1977">
        <v>350000</v>
      </c>
      <c r="G1707" s="1978">
        <f t="shared" si="343"/>
        <v>7</v>
      </c>
    </row>
    <row r="1708" spans="1:7" ht="18" customHeight="1" thickBot="1">
      <c r="A1708" s="842" t="s">
        <v>110</v>
      </c>
      <c r="B1708" s="1205"/>
      <c r="C1708" s="1206"/>
      <c r="D1708" s="1207" t="s">
        <v>924</v>
      </c>
      <c r="E1708" s="1999">
        <f>E1709+E1715+E1731+E1759</f>
        <v>5693850</v>
      </c>
      <c r="F1708" s="1999">
        <f>F1709+F1715+F1731+F1759</f>
        <v>4053593</v>
      </c>
      <c r="G1708" s="2000">
        <f t="shared" si="343"/>
        <v>0.71192479605188053</v>
      </c>
    </row>
    <row r="1709" spans="1:7" ht="18" customHeight="1" thickBot="1">
      <c r="A1709" s="848"/>
      <c r="B1709" s="1072" t="s">
        <v>925</v>
      </c>
      <c r="C1709" s="1073"/>
      <c r="D1709" s="1074" t="s">
        <v>926</v>
      </c>
      <c r="E1709" s="1075">
        <f t="shared" ref="E1709:F1709" si="345">E1710</f>
        <v>3500</v>
      </c>
      <c r="F1709" s="1075">
        <f t="shared" si="345"/>
        <v>3570</v>
      </c>
      <c r="G1709" s="1076">
        <f t="shared" si="343"/>
        <v>1.02</v>
      </c>
    </row>
    <row r="1710" spans="1:7" ht="15.75" customHeight="1">
      <c r="A1710" s="848"/>
      <c r="B1710" s="860"/>
      <c r="C1710" s="2802" t="s">
        <v>521</v>
      </c>
      <c r="D1710" s="2802"/>
      <c r="E1710" s="854">
        <f t="shared" ref="E1710:F1711" si="346">SUM(E1711)</f>
        <v>3500</v>
      </c>
      <c r="F1710" s="854">
        <f t="shared" si="346"/>
        <v>3570</v>
      </c>
      <c r="G1710" s="855">
        <f t="shared" si="343"/>
        <v>1.02</v>
      </c>
    </row>
    <row r="1711" spans="1:7" ht="15.75" customHeight="1">
      <c r="A1711" s="848"/>
      <c r="B1711" s="860"/>
      <c r="C1711" s="2831" t="s">
        <v>522</v>
      </c>
      <c r="D1711" s="2831"/>
      <c r="E1711" s="1962">
        <f t="shared" si="346"/>
        <v>3500</v>
      </c>
      <c r="F1711" s="1962">
        <f t="shared" si="346"/>
        <v>3570</v>
      </c>
      <c r="G1711" s="1967">
        <f t="shared" si="343"/>
        <v>1.02</v>
      </c>
    </row>
    <row r="1712" spans="1:7" ht="15.75" customHeight="1">
      <c r="A1712" s="848"/>
      <c r="B1712" s="860"/>
      <c r="C1712" s="2832" t="s">
        <v>534</v>
      </c>
      <c r="D1712" s="2832"/>
      <c r="E1712" s="1962">
        <f t="shared" ref="E1712:F1712" si="347">SUM(E1713:E1714)</f>
        <v>3500</v>
      </c>
      <c r="F1712" s="1962">
        <f t="shared" si="347"/>
        <v>3570</v>
      </c>
      <c r="G1712" s="1967">
        <f t="shared" si="343"/>
        <v>1.02</v>
      </c>
    </row>
    <row r="1713" spans="1:7" ht="15.75" customHeight="1">
      <c r="A1713" s="848"/>
      <c r="B1713" s="860"/>
      <c r="C1713" s="1937" t="s">
        <v>537</v>
      </c>
      <c r="D1713" s="1938" t="s">
        <v>538</v>
      </c>
      <c r="E1713" s="1962">
        <v>1000</v>
      </c>
      <c r="F1713" s="1962">
        <v>1070</v>
      </c>
      <c r="G1713" s="1967">
        <f t="shared" si="343"/>
        <v>1.07</v>
      </c>
    </row>
    <row r="1714" spans="1:7" ht="15.75" customHeight="1" thickBot="1">
      <c r="A1714" s="848"/>
      <c r="B1714" s="860"/>
      <c r="C1714" s="1922" t="s">
        <v>547</v>
      </c>
      <c r="D1714" s="1944" t="s">
        <v>548</v>
      </c>
      <c r="E1714" s="1963">
        <v>2500</v>
      </c>
      <c r="F1714" s="1963">
        <v>2500</v>
      </c>
      <c r="G1714" s="1926">
        <f t="shared" si="343"/>
        <v>1</v>
      </c>
    </row>
    <row r="1715" spans="1:7" ht="15" customHeight="1" thickBot="1">
      <c r="A1715" s="848"/>
      <c r="B1715" s="1072" t="s">
        <v>111</v>
      </c>
      <c r="C1715" s="1403"/>
      <c r="D1715" s="1074" t="s">
        <v>468</v>
      </c>
      <c r="E1715" s="1075">
        <f>E1716</f>
        <v>2931910</v>
      </c>
      <c r="F1715" s="1075">
        <f t="shared" ref="F1715" si="348">F1716</f>
        <v>857371</v>
      </c>
      <c r="G1715" s="1076">
        <f t="shared" si="343"/>
        <v>0.29242746196165642</v>
      </c>
    </row>
    <row r="1716" spans="1:7" ht="14.25" customHeight="1">
      <c r="A1716" s="848"/>
      <c r="B1716" s="860"/>
      <c r="C1716" s="2802" t="s">
        <v>521</v>
      </c>
      <c r="D1716" s="2802"/>
      <c r="E1716" s="854">
        <f>SUM(E1720,E1717)</f>
        <v>2931910</v>
      </c>
      <c r="F1716" s="854">
        <f t="shared" ref="F1716" si="349">SUM(F1720,F1717)</f>
        <v>857371</v>
      </c>
      <c r="G1716" s="855">
        <f t="shared" si="343"/>
        <v>0.29242746196165642</v>
      </c>
    </row>
    <row r="1717" spans="1:7" ht="16.5" customHeight="1">
      <c r="A1717" s="848"/>
      <c r="B1717" s="860"/>
      <c r="C1717" s="2842" t="s">
        <v>927</v>
      </c>
      <c r="D1717" s="2843"/>
      <c r="E1717" s="1962">
        <f t="shared" ref="E1717:F1717" si="350">SUM(E1718)</f>
        <v>90000</v>
      </c>
      <c r="F1717" s="1962">
        <f t="shared" si="350"/>
        <v>90000</v>
      </c>
      <c r="G1717" s="1967">
        <f t="shared" si="343"/>
        <v>1</v>
      </c>
    </row>
    <row r="1718" spans="1:7" ht="51">
      <c r="A1718" s="848"/>
      <c r="B1718" s="860"/>
      <c r="C1718" s="1937" t="s">
        <v>633</v>
      </c>
      <c r="D1718" s="1938" t="s">
        <v>634</v>
      </c>
      <c r="E1718" s="2001">
        <v>90000</v>
      </c>
      <c r="F1718" s="2001">
        <v>90000</v>
      </c>
      <c r="G1718" s="2002">
        <f t="shared" si="343"/>
        <v>1</v>
      </c>
    </row>
    <row r="1719" spans="1:7">
      <c r="A1719" s="848"/>
      <c r="B1719" s="860"/>
      <c r="C1719" s="2003"/>
      <c r="D1719" s="2003"/>
      <c r="E1719" s="2004"/>
      <c r="F1719" s="2004"/>
      <c r="G1719" s="2005"/>
    </row>
    <row r="1720" spans="1:7" ht="19.5" customHeight="1">
      <c r="A1720" s="848"/>
      <c r="B1720" s="860"/>
      <c r="C1720" s="2823" t="s">
        <v>587</v>
      </c>
      <c r="D1720" s="2823"/>
      <c r="E1720" s="1963">
        <f>SUM(E1721:E1730)</f>
        <v>2841910</v>
      </c>
      <c r="F1720" s="1963">
        <f>SUM(F1721:F1730)</f>
        <v>767371</v>
      </c>
      <c r="G1720" s="1926">
        <f t="shared" si="343"/>
        <v>0.27001945874429523</v>
      </c>
    </row>
    <row r="1721" spans="1:7" ht="63.75">
      <c r="A1721" s="848"/>
      <c r="B1721" s="860"/>
      <c r="C1721" s="1937" t="s">
        <v>418</v>
      </c>
      <c r="D1721" s="1210" t="s">
        <v>590</v>
      </c>
      <c r="E1721" s="1963">
        <v>1588676</v>
      </c>
      <c r="F1721" s="1963">
        <v>365688</v>
      </c>
      <c r="G1721" s="1926">
        <f t="shared" si="343"/>
        <v>0.23018412816710268</v>
      </c>
    </row>
    <row r="1722" spans="1:7" ht="15.75" customHeight="1">
      <c r="A1722" s="848"/>
      <c r="B1722" s="860"/>
      <c r="C1722" s="1937" t="s">
        <v>647</v>
      </c>
      <c r="D1722" s="1938" t="s">
        <v>525</v>
      </c>
      <c r="E1722" s="1963">
        <v>201607</v>
      </c>
      <c r="F1722" s="1963">
        <v>80617</v>
      </c>
      <c r="G1722" s="1926">
        <f t="shared" si="343"/>
        <v>0.39987202825298723</v>
      </c>
    </row>
    <row r="1723" spans="1:7" ht="15.75" customHeight="1">
      <c r="A1723" s="848"/>
      <c r="B1723" s="860"/>
      <c r="C1723" s="1937" t="s">
        <v>592</v>
      </c>
      <c r="D1723" s="1938" t="s">
        <v>525</v>
      </c>
      <c r="E1723" s="1963">
        <v>24938</v>
      </c>
      <c r="F1723" s="1963">
        <v>7961</v>
      </c>
      <c r="G1723" s="1926">
        <f t="shared" si="343"/>
        <v>0.31923169460261447</v>
      </c>
    </row>
    <row r="1724" spans="1:7" ht="15.75" customHeight="1">
      <c r="A1724" s="848"/>
      <c r="B1724" s="860"/>
      <c r="C1724" s="1937" t="s">
        <v>648</v>
      </c>
      <c r="D1724" s="1938" t="s">
        <v>527</v>
      </c>
      <c r="E1724" s="1963">
        <v>0</v>
      </c>
      <c r="F1724" s="1963">
        <v>3918</v>
      </c>
      <c r="G1724" s="1926"/>
    </row>
    <row r="1725" spans="1:7" ht="15.75" customHeight="1">
      <c r="A1725" s="848"/>
      <c r="B1725" s="860"/>
      <c r="C1725" s="1937" t="s">
        <v>649</v>
      </c>
      <c r="D1725" s="1938" t="s">
        <v>529</v>
      </c>
      <c r="E1725" s="1963">
        <v>35218</v>
      </c>
      <c r="F1725" s="1963">
        <v>14313</v>
      </c>
      <c r="G1725" s="1926">
        <f t="shared" si="343"/>
        <v>0.4064114941223238</v>
      </c>
    </row>
    <row r="1726" spans="1:7" ht="15.75" customHeight="1">
      <c r="A1726" s="848"/>
      <c r="B1726" s="860"/>
      <c r="C1726" s="1937" t="s">
        <v>596</v>
      </c>
      <c r="D1726" s="1938" t="s">
        <v>529</v>
      </c>
      <c r="E1726" s="1963">
        <v>4237</v>
      </c>
      <c r="F1726" s="1963">
        <v>1348</v>
      </c>
      <c r="G1726" s="1926">
        <f t="shared" si="343"/>
        <v>0.31814963417512393</v>
      </c>
    </row>
    <row r="1727" spans="1:7" ht="15.75" customHeight="1">
      <c r="A1727" s="848"/>
      <c r="B1727" s="860"/>
      <c r="C1727" s="1937" t="s">
        <v>650</v>
      </c>
      <c r="D1727" s="1938" t="s">
        <v>531</v>
      </c>
      <c r="E1727" s="1963">
        <v>6057</v>
      </c>
      <c r="F1727" s="1963">
        <v>2071</v>
      </c>
      <c r="G1727" s="1926">
        <f t="shared" si="343"/>
        <v>0.34191844147267625</v>
      </c>
    </row>
    <row r="1728" spans="1:7" ht="15.75" customHeight="1">
      <c r="A1728" s="848"/>
      <c r="B1728" s="860"/>
      <c r="C1728" s="1937" t="s">
        <v>598</v>
      </c>
      <c r="D1728" s="1938" t="s">
        <v>531</v>
      </c>
      <c r="E1728" s="1963">
        <v>612</v>
      </c>
      <c r="F1728" s="1963">
        <v>194</v>
      </c>
      <c r="G1728" s="1926">
        <f t="shared" si="343"/>
        <v>0.31699346405228757</v>
      </c>
    </row>
    <row r="1729" spans="1:7" ht="15.75" customHeight="1">
      <c r="A1729" s="848"/>
      <c r="B1729" s="860"/>
      <c r="C1729" s="1937" t="s">
        <v>652</v>
      </c>
      <c r="D1729" s="1938" t="s">
        <v>548</v>
      </c>
      <c r="E1729" s="1963">
        <v>693779</v>
      </c>
      <c r="F1729" s="1963">
        <v>191905</v>
      </c>
      <c r="G1729" s="1926">
        <f t="shared" si="343"/>
        <v>0.27660825709627995</v>
      </c>
    </row>
    <row r="1730" spans="1:7" ht="15.75" customHeight="1" thickBot="1">
      <c r="A1730" s="848"/>
      <c r="B1730" s="860"/>
      <c r="C1730" s="1943" t="s">
        <v>609</v>
      </c>
      <c r="D1730" s="1944" t="s">
        <v>548</v>
      </c>
      <c r="E1730" s="1963">
        <v>286786</v>
      </c>
      <c r="F1730" s="1963">
        <v>99356</v>
      </c>
      <c r="G1730" s="1926">
        <f t="shared" si="343"/>
        <v>0.34644647925630956</v>
      </c>
    </row>
    <row r="1731" spans="1:7" ht="15.75" customHeight="1" thickBot="1">
      <c r="A1731" s="848"/>
      <c r="B1731" s="1072" t="s">
        <v>928</v>
      </c>
      <c r="C1731" s="1073"/>
      <c r="D1731" s="1074" t="s">
        <v>472</v>
      </c>
      <c r="E1731" s="1075">
        <f t="shared" ref="E1731:F1731" si="351">E1732</f>
        <v>890516</v>
      </c>
      <c r="F1731" s="1075">
        <f t="shared" si="351"/>
        <v>784000</v>
      </c>
      <c r="G1731" s="1076">
        <f t="shared" si="343"/>
        <v>0.88038844894420765</v>
      </c>
    </row>
    <row r="1732" spans="1:7" ht="15.75" customHeight="1">
      <c r="A1732" s="848"/>
      <c r="B1732" s="860"/>
      <c r="C1732" s="2802" t="s">
        <v>521</v>
      </c>
      <c r="D1732" s="2802"/>
      <c r="E1732" s="854">
        <f>E1733+E1757</f>
        <v>890516</v>
      </c>
      <c r="F1732" s="854">
        <f t="shared" ref="F1732" si="352">F1733+F1757</f>
        <v>784000</v>
      </c>
      <c r="G1732" s="855">
        <f t="shared" si="343"/>
        <v>0.88038844894420765</v>
      </c>
    </row>
    <row r="1733" spans="1:7" ht="15.75" customHeight="1">
      <c r="A1733" s="848"/>
      <c r="B1733" s="860"/>
      <c r="C1733" s="2831" t="s">
        <v>522</v>
      </c>
      <c r="D1733" s="2831"/>
      <c r="E1733" s="1962">
        <f t="shared" ref="E1733:F1733" si="353">E1734+E1740</f>
        <v>888516</v>
      </c>
      <c r="F1733" s="1962">
        <f t="shared" si="353"/>
        <v>781140</v>
      </c>
      <c r="G1733" s="1967">
        <f t="shared" si="343"/>
        <v>0.87915130397201624</v>
      </c>
    </row>
    <row r="1734" spans="1:7" ht="15.75" customHeight="1">
      <c r="A1734" s="848"/>
      <c r="B1734" s="860"/>
      <c r="C1734" s="2788" t="s">
        <v>523</v>
      </c>
      <c r="D1734" s="2788"/>
      <c r="E1734" s="2006">
        <f t="shared" ref="E1734:F1734" si="354">SUM(E1735:E1738)</f>
        <v>776262</v>
      </c>
      <c r="F1734" s="2006">
        <f t="shared" si="354"/>
        <v>642619</v>
      </c>
      <c r="G1734" s="2007">
        <f t="shared" si="343"/>
        <v>0.82783776611504878</v>
      </c>
    </row>
    <row r="1735" spans="1:7" ht="15.75" customHeight="1">
      <c r="A1735" s="848"/>
      <c r="B1735" s="860"/>
      <c r="C1735" s="1937" t="s">
        <v>524</v>
      </c>
      <c r="D1735" s="1938" t="s">
        <v>525</v>
      </c>
      <c r="E1735" s="1962">
        <v>604355</v>
      </c>
      <c r="F1735" s="1962">
        <v>463675</v>
      </c>
      <c r="G1735" s="1967">
        <f t="shared" si="343"/>
        <v>0.7672229070662111</v>
      </c>
    </row>
    <row r="1736" spans="1:7" ht="15.75" customHeight="1">
      <c r="A1736" s="848"/>
      <c r="B1736" s="860"/>
      <c r="C1736" s="1937" t="s">
        <v>526</v>
      </c>
      <c r="D1736" s="1938" t="s">
        <v>527</v>
      </c>
      <c r="E1736" s="1962">
        <v>53339</v>
      </c>
      <c r="F1736" s="1962">
        <v>75655</v>
      </c>
      <c r="G1736" s="1967">
        <f t="shared" si="343"/>
        <v>1.4183805470668742</v>
      </c>
    </row>
    <row r="1737" spans="1:7" ht="15.75" customHeight="1">
      <c r="A1737" s="848"/>
      <c r="B1737" s="860"/>
      <c r="C1737" s="1937" t="s">
        <v>528</v>
      </c>
      <c r="D1737" s="1938" t="s">
        <v>529</v>
      </c>
      <c r="E1737" s="1962">
        <v>105972</v>
      </c>
      <c r="F1737" s="1962">
        <v>90578</v>
      </c>
      <c r="G1737" s="1967">
        <f t="shared" si="343"/>
        <v>0.85473521307515188</v>
      </c>
    </row>
    <row r="1738" spans="1:7" ht="15.75" customHeight="1">
      <c r="A1738" s="848"/>
      <c r="B1738" s="860"/>
      <c r="C1738" s="1937" t="s">
        <v>530</v>
      </c>
      <c r="D1738" s="1938" t="s">
        <v>531</v>
      </c>
      <c r="E1738" s="1962">
        <v>12596</v>
      </c>
      <c r="F1738" s="1962">
        <v>12711</v>
      </c>
      <c r="G1738" s="1967">
        <f t="shared" si="343"/>
        <v>1.0091298825023818</v>
      </c>
    </row>
    <row r="1739" spans="1:7" ht="15.75" customHeight="1">
      <c r="A1739" s="848"/>
      <c r="B1739" s="860"/>
      <c r="C1739" s="999"/>
      <c r="D1739" s="999"/>
      <c r="E1739" s="882"/>
      <c r="F1739" s="882"/>
      <c r="G1739" s="883"/>
    </row>
    <row r="1740" spans="1:7" ht="15.75" customHeight="1">
      <c r="A1740" s="848"/>
      <c r="B1740" s="860"/>
      <c r="C1740" s="2832" t="s">
        <v>534</v>
      </c>
      <c r="D1740" s="2832"/>
      <c r="E1740" s="2006">
        <f>SUM(E1741:E1755)</f>
        <v>112254</v>
      </c>
      <c r="F1740" s="2006">
        <f t="shared" ref="F1740" si="355">SUM(F1741:F1755)</f>
        <v>138521</v>
      </c>
      <c r="G1740" s="2007">
        <f t="shared" si="343"/>
        <v>1.2339961159513246</v>
      </c>
    </row>
    <row r="1741" spans="1:7" ht="15.75" customHeight="1">
      <c r="A1741" s="848"/>
      <c r="B1741" s="860"/>
      <c r="C1741" s="1937" t="s">
        <v>535</v>
      </c>
      <c r="D1741" s="1938" t="s">
        <v>536</v>
      </c>
      <c r="E1741" s="1962">
        <v>700</v>
      </c>
      <c r="F1741" s="1962">
        <v>3900</v>
      </c>
      <c r="G1741" s="1967">
        <f t="shared" si="343"/>
        <v>5.5714285714285712</v>
      </c>
    </row>
    <row r="1742" spans="1:7" ht="15.75" customHeight="1">
      <c r="A1742" s="848"/>
      <c r="B1742" s="860"/>
      <c r="C1742" s="1937" t="s">
        <v>537</v>
      </c>
      <c r="D1742" s="1938" t="s">
        <v>538</v>
      </c>
      <c r="E1742" s="1962">
        <v>10540</v>
      </c>
      <c r="F1742" s="1962">
        <v>23899</v>
      </c>
      <c r="G1742" s="1967">
        <f t="shared" si="343"/>
        <v>2.2674573055028464</v>
      </c>
    </row>
    <row r="1743" spans="1:7" ht="15.75" customHeight="1">
      <c r="A1743" s="848"/>
      <c r="B1743" s="860"/>
      <c r="C1743" s="1937" t="s">
        <v>539</v>
      </c>
      <c r="D1743" s="1938" t="s">
        <v>540</v>
      </c>
      <c r="E1743" s="1962">
        <v>1250</v>
      </c>
      <c r="F1743" s="1962">
        <v>5500</v>
      </c>
      <c r="G1743" s="1967">
        <f t="shared" si="343"/>
        <v>4.4000000000000004</v>
      </c>
    </row>
    <row r="1744" spans="1:7" ht="15.75" customHeight="1">
      <c r="A1744" s="848"/>
      <c r="B1744" s="860"/>
      <c r="C1744" s="1937" t="s">
        <v>714</v>
      </c>
      <c r="D1744" s="1938" t="s">
        <v>715</v>
      </c>
      <c r="E1744" s="1962">
        <v>0</v>
      </c>
      <c r="F1744" s="1962">
        <v>1500</v>
      </c>
      <c r="G1744" s="1967"/>
    </row>
    <row r="1745" spans="1:7" ht="15.75" customHeight="1">
      <c r="A1745" s="848"/>
      <c r="B1745" s="860"/>
      <c r="C1745" s="1937" t="s">
        <v>541</v>
      </c>
      <c r="D1745" s="1938" t="s">
        <v>542</v>
      </c>
      <c r="E1745" s="1962">
        <v>12520</v>
      </c>
      <c r="F1745" s="1962">
        <v>11890</v>
      </c>
      <c r="G1745" s="1967">
        <f t="shared" si="343"/>
        <v>0.94968051118210861</v>
      </c>
    </row>
    <row r="1746" spans="1:7" ht="15.75" customHeight="1">
      <c r="A1746" s="848"/>
      <c r="B1746" s="860"/>
      <c r="C1746" s="1937" t="s">
        <v>543</v>
      </c>
      <c r="D1746" s="1938" t="s">
        <v>544</v>
      </c>
      <c r="E1746" s="1962">
        <v>2806</v>
      </c>
      <c r="F1746" s="1962">
        <v>5965</v>
      </c>
      <c r="G1746" s="1967">
        <f t="shared" si="343"/>
        <v>2.1258018531717746</v>
      </c>
    </row>
    <row r="1747" spans="1:7" ht="15.75" customHeight="1">
      <c r="A1747" s="848"/>
      <c r="B1747" s="860"/>
      <c r="C1747" s="1937" t="s">
        <v>545</v>
      </c>
      <c r="D1747" s="1938" t="s">
        <v>546</v>
      </c>
      <c r="E1747" s="1962">
        <v>600</v>
      </c>
      <c r="F1747" s="1962">
        <v>500</v>
      </c>
      <c r="G1747" s="1967">
        <f t="shared" si="343"/>
        <v>0.83333333333333337</v>
      </c>
    </row>
    <row r="1748" spans="1:7" ht="15.75" customHeight="1">
      <c r="A1748" s="848"/>
      <c r="B1748" s="860"/>
      <c r="C1748" s="1937" t="s">
        <v>547</v>
      </c>
      <c r="D1748" s="1938" t="s">
        <v>548</v>
      </c>
      <c r="E1748" s="1962">
        <v>45353</v>
      </c>
      <c r="F1748" s="1962">
        <v>45804</v>
      </c>
      <c r="G1748" s="1967">
        <f t="shared" si="343"/>
        <v>1.0099442153771525</v>
      </c>
    </row>
    <row r="1749" spans="1:7" ht="15.75" customHeight="1">
      <c r="A1749" s="848"/>
      <c r="B1749" s="2830"/>
      <c r="C1749" s="1937" t="s">
        <v>549</v>
      </c>
      <c r="D1749" s="1938" t="s">
        <v>717</v>
      </c>
      <c r="E1749" s="1962">
        <v>3850</v>
      </c>
      <c r="F1749" s="1962">
        <v>3850</v>
      </c>
      <c r="G1749" s="1967">
        <f t="shared" si="343"/>
        <v>1</v>
      </c>
    </row>
    <row r="1750" spans="1:7" ht="15.75" customHeight="1">
      <c r="A1750" s="848"/>
      <c r="B1750" s="2830"/>
      <c r="C1750" s="1943" t="s">
        <v>555</v>
      </c>
      <c r="D1750" s="1944" t="s">
        <v>556</v>
      </c>
      <c r="E1750" s="1962">
        <v>3500</v>
      </c>
      <c r="F1750" s="1962">
        <v>4500</v>
      </c>
      <c r="G1750" s="1967">
        <f t="shared" si="343"/>
        <v>1.2857142857142858</v>
      </c>
    </row>
    <row r="1751" spans="1:7" ht="15.75" hidden="1" customHeight="1">
      <c r="A1751" s="848"/>
      <c r="B1751" s="2830"/>
      <c r="C1751" s="2008" t="s">
        <v>557</v>
      </c>
      <c r="D1751" s="2009" t="s">
        <v>558</v>
      </c>
      <c r="E1751" s="1962">
        <v>368</v>
      </c>
      <c r="F1751" s="1962">
        <v>0</v>
      </c>
      <c r="G1751" s="1967">
        <f t="shared" si="343"/>
        <v>0</v>
      </c>
    </row>
    <row r="1752" spans="1:7" ht="15.75" customHeight="1">
      <c r="A1752" s="848"/>
      <c r="B1752" s="2830"/>
      <c r="C1752" s="2010" t="s">
        <v>559</v>
      </c>
      <c r="D1752" s="1964" t="s">
        <v>560</v>
      </c>
      <c r="E1752" s="1962">
        <v>21939</v>
      </c>
      <c r="F1752" s="1962">
        <v>21986</v>
      </c>
      <c r="G1752" s="1967">
        <f t="shared" si="343"/>
        <v>1.0021423036601487</v>
      </c>
    </row>
    <row r="1753" spans="1:7" ht="15.75" customHeight="1">
      <c r="A1753" s="848"/>
      <c r="B1753" s="2830"/>
      <c r="C1753" s="2010" t="s">
        <v>561</v>
      </c>
      <c r="D1753" s="1964" t="s">
        <v>562</v>
      </c>
      <c r="E1753" s="1962">
        <v>1500</v>
      </c>
      <c r="F1753" s="1962">
        <v>1719</v>
      </c>
      <c r="G1753" s="1967">
        <f t="shared" si="343"/>
        <v>1.1459999999999999</v>
      </c>
    </row>
    <row r="1754" spans="1:7" ht="15.75" customHeight="1">
      <c r="A1754" s="848"/>
      <c r="B1754" s="2830"/>
      <c r="C1754" s="2011" t="s">
        <v>565</v>
      </c>
      <c r="D1754" s="1964" t="s">
        <v>920</v>
      </c>
      <c r="E1754" s="1962">
        <v>4828</v>
      </c>
      <c r="F1754" s="1962">
        <v>4508</v>
      </c>
      <c r="G1754" s="1967">
        <f t="shared" si="343"/>
        <v>0.93371996685998337</v>
      </c>
    </row>
    <row r="1755" spans="1:7" ht="15.75" customHeight="1">
      <c r="A1755" s="848"/>
      <c r="B1755" s="2830"/>
      <c r="C1755" s="2011" t="s">
        <v>569</v>
      </c>
      <c r="D1755" s="1964" t="s">
        <v>760</v>
      </c>
      <c r="E1755" s="1962">
        <v>2500</v>
      </c>
      <c r="F1755" s="1962">
        <v>3000</v>
      </c>
      <c r="G1755" s="1967">
        <f t="shared" si="343"/>
        <v>1.2</v>
      </c>
    </row>
    <row r="1756" spans="1:7" ht="15.75" customHeight="1">
      <c r="A1756" s="848"/>
      <c r="B1756" s="2830"/>
      <c r="C1756" s="999"/>
      <c r="D1756" s="999"/>
      <c r="E1756" s="882"/>
      <c r="F1756" s="882"/>
      <c r="G1756" s="883"/>
    </row>
    <row r="1757" spans="1:7" ht="15.75" customHeight="1">
      <c r="A1757" s="848"/>
      <c r="B1757" s="2830"/>
      <c r="C1757" s="2835" t="s">
        <v>571</v>
      </c>
      <c r="D1757" s="2835"/>
      <c r="E1757" s="1962">
        <f t="shared" ref="E1757:F1757" si="356">E1758</f>
        <v>2000</v>
      </c>
      <c r="F1757" s="1962">
        <f t="shared" si="356"/>
        <v>2860</v>
      </c>
      <c r="G1757" s="1967">
        <f t="shared" si="343"/>
        <v>1.43</v>
      </c>
    </row>
    <row r="1758" spans="1:7" ht="15.75" customHeight="1" thickBot="1">
      <c r="A1758" s="848"/>
      <c r="B1758" s="2830"/>
      <c r="C1758" s="1943" t="s">
        <v>572</v>
      </c>
      <c r="D1758" s="1944" t="s">
        <v>573</v>
      </c>
      <c r="E1758" s="1963">
        <v>2000</v>
      </c>
      <c r="F1758" s="1963">
        <v>2860</v>
      </c>
      <c r="G1758" s="1926">
        <f t="shared" si="343"/>
        <v>1.43</v>
      </c>
    </row>
    <row r="1759" spans="1:7" ht="15.75" customHeight="1" thickBot="1">
      <c r="A1759" s="848"/>
      <c r="B1759" s="1072" t="s">
        <v>112</v>
      </c>
      <c r="C1759" s="1073"/>
      <c r="D1759" s="1074" t="s">
        <v>929</v>
      </c>
      <c r="E1759" s="1075">
        <f>E1760</f>
        <v>1867924</v>
      </c>
      <c r="F1759" s="1075">
        <f t="shared" ref="F1759" si="357">F1760</f>
        <v>2408652</v>
      </c>
      <c r="G1759" s="1076">
        <f t="shared" si="343"/>
        <v>1.2894807283379837</v>
      </c>
    </row>
    <row r="1760" spans="1:7" ht="15.75" customHeight="1">
      <c r="A1760" s="848"/>
      <c r="B1760" s="2830"/>
      <c r="C1760" s="2802" t="s">
        <v>521</v>
      </c>
      <c r="D1760" s="2802"/>
      <c r="E1760" s="854">
        <f>SUM(E1765,E1761)</f>
        <v>1867924</v>
      </c>
      <c r="F1760" s="854">
        <f t="shared" ref="F1760" si="358">SUM(F1765,F1761)</f>
        <v>2408652</v>
      </c>
      <c r="G1760" s="855">
        <f t="shared" si="343"/>
        <v>1.2894807283379837</v>
      </c>
    </row>
    <row r="1761" spans="1:7" ht="15.75" customHeight="1">
      <c r="A1761" s="848"/>
      <c r="B1761" s="2830"/>
      <c r="C1761" s="2831" t="s">
        <v>522</v>
      </c>
      <c r="D1761" s="2831"/>
      <c r="E1761" s="1962">
        <f t="shared" ref="E1761:F1761" si="359">E1762</f>
        <v>1000</v>
      </c>
      <c r="F1761" s="1962">
        <f t="shared" si="359"/>
        <v>1020</v>
      </c>
      <c r="G1761" s="1967">
        <f t="shared" ref="G1761:G1848" si="360">F1761/E1761</f>
        <v>1.02</v>
      </c>
    </row>
    <row r="1762" spans="1:7" ht="15.75" customHeight="1">
      <c r="A1762" s="848"/>
      <c r="B1762" s="2830"/>
      <c r="C1762" s="2832" t="s">
        <v>534</v>
      </c>
      <c r="D1762" s="2832"/>
      <c r="E1762" s="2006">
        <f>SUM(E1763:E1763)</f>
        <v>1000</v>
      </c>
      <c r="F1762" s="2006">
        <f t="shared" ref="F1762" si="361">SUM(F1763:F1763)</f>
        <v>1020</v>
      </c>
      <c r="G1762" s="2007">
        <f t="shared" si="360"/>
        <v>1.02</v>
      </c>
    </row>
    <row r="1763" spans="1:7" ht="15.75" customHeight="1">
      <c r="A1763" s="848"/>
      <c r="B1763" s="2830"/>
      <c r="C1763" s="1937" t="s">
        <v>537</v>
      </c>
      <c r="D1763" s="1938" t="s">
        <v>538</v>
      </c>
      <c r="E1763" s="1962">
        <v>1000</v>
      </c>
      <c r="F1763" s="1962">
        <v>1020</v>
      </c>
      <c r="G1763" s="1967">
        <f t="shared" si="360"/>
        <v>1.02</v>
      </c>
    </row>
    <row r="1764" spans="1:7">
      <c r="A1764" s="848"/>
      <c r="B1764" s="2830"/>
      <c r="C1764" s="2821"/>
      <c r="D1764" s="2822"/>
      <c r="E1764" s="1962"/>
      <c r="F1764" s="1962"/>
      <c r="G1764" s="1967"/>
    </row>
    <row r="1765" spans="1:7" ht="16.5" customHeight="1">
      <c r="A1765" s="848"/>
      <c r="B1765" s="2830"/>
      <c r="C1765" s="2842" t="s">
        <v>618</v>
      </c>
      <c r="D1765" s="2843"/>
      <c r="E1765" s="1962">
        <f>SUM(E1766:E1768)</f>
        <v>1866924</v>
      </c>
      <c r="F1765" s="1962">
        <f t="shared" ref="F1765" si="362">SUM(F1766:F1768)</f>
        <v>2407632</v>
      </c>
      <c r="G1765" s="1967">
        <f t="shared" si="360"/>
        <v>1.2896250731149206</v>
      </c>
    </row>
    <row r="1766" spans="1:7" ht="51.75" thickBot="1">
      <c r="A1766" s="848"/>
      <c r="B1766" s="2830"/>
      <c r="C1766" s="1954" t="s">
        <v>633</v>
      </c>
      <c r="D1766" s="1955" t="s">
        <v>634</v>
      </c>
      <c r="E1766" s="1962">
        <v>1857839</v>
      </c>
      <c r="F1766" s="1962">
        <v>2407632</v>
      </c>
      <c r="G1766" s="1967">
        <f t="shared" si="360"/>
        <v>1.2959314558473582</v>
      </c>
    </row>
    <row r="1767" spans="1:7" ht="40.5" hidden="1" customHeight="1">
      <c r="A1767" s="848"/>
      <c r="B1767" s="860"/>
      <c r="C1767" s="2012" t="s">
        <v>477</v>
      </c>
      <c r="D1767" s="2013" t="s">
        <v>476</v>
      </c>
      <c r="E1767" s="1963">
        <v>100</v>
      </c>
      <c r="F1767" s="1963">
        <v>0</v>
      </c>
      <c r="G1767" s="1926">
        <f t="shared" si="360"/>
        <v>0</v>
      </c>
    </row>
    <row r="1768" spans="1:7" ht="17.25" hidden="1" customHeight="1" thickBot="1">
      <c r="A1768" s="848"/>
      <c r="B1768" s="860"/>
      <c r="C1768" s="2012" t="s">
        <v>282</v>
      </c>
      <c r="D1768" s="2013" t="s">
        <v>281</v>
      </c>
      <c r="E1768" s="2014">
        <v>8985</v>
      </c>
      <c r="F1768" s="1963">
        <v>0</v>
      </c>
      <c r="G1768" s="1926">
        <f t="shared" si="360"/>
        <v>0</v>
      </c>
    </row>
    <row r="1769" spans="1:7" ht="17.100000000000001" customHeight="1" thickBot="1">
      <c r="A1769" s="2015" t="s">
        <v>76</v>
      </c>
      <c r="B1769" s="2016"/>
      <c r="C1769" s="2017"/>
      <c r="D1769" s="2018" t="s">
        <v>930</v>
      </c>
      <c r="E1769" s="2019">
        <f>E1781+E1799+E1813+E1823+E1834+E1777+E1795+E1790+E1770</f>
        <v>1205805</v>
      </c>
      <c r="F1769" s="2020">
        <f>F1781+F1799+F1813+F1823+F1834+F1777+F1795+F1790+F1770</f>
        <v>843565</v>
      </c>
      <c r="G1769" s="2021">
        <f t="shared" si="360"/>
        <v>0.69958658323692469</v>
      </c>
    </row>
    <row r="1770" spans="1:7" ht="17.100000000000001" customHeight="1" thickBot="1">
      <c r="A1770" s="848"/>
      <c r="B1770" s="1072" t="s">
        <v>931</v>
      </c>
      <c r="C1770" s="1073"/>
      <c r="D1770" s="1074" t="s">
        <v>479</v>
      </c>
      <c r="E1770" s="2022">
        <f>E1771</f>
        <v>0</v>
      </c>
      <c r="F1770" s="1075">
        <f t="shared" ref="F1770" si="363">F1771</f>
        <v>100000</v>
      </c>
      <c r="G1770" s="1076"/>
    </row>
    <row r="1771" spans="1:7" ht="17.100000000000001" customHeight="1">
      <c r="A1771" s="848"/>
      <c r="B1771" s="860"/>
      <c r="C1771" s="2768" t="s">
        <v>521</v>
      </c>
      <c r="D1771" s="2813"/>
      <c r="E1771" s="2023">
        <f>E1772+E1787</f>
        <v>0</v>
      </c>
      <c r="F1771" s="854">
        <f>F1772+F1787</f>
        <v>100000</v>
      </c>
      <c r="G1771" s="1549"/>
    </row>
    <row r="1772" spans="1:7" ht="17.100000000000001" customHeight="1">
      <c r="A1772" s="848"/>
      <c r="B1772" s="860"/>
      <c r="C1772" s="2831" t="s">
        <v>522</v>
      </c>
      <c r="D1772" s="2831"/>
      <c r="E1772" s="2024">
        <f>E1773</f>
        <v>0</v>
      </c>
      <c r="F1772" s="2025">
        <f>F1773</f>
        <v>100000</v>
      </c>
      <c r="G1772" s="1967"/>
    </row>
    <row r="1773" spans="1:7" ht="17.100000000000001" customHeight="1">
      <c r="A1773" s="848"/>
      <c r="B1773" s="860"/>
      <c r="C1773" s="2788" t="s">
        <v>523</v>
      </c>
      <c r="D1773" s="2788"/>
      <c r="E1773" s="2024">
        <f>SUM(E1774:E1776)</f>
        <v>0</v>
      </c>
      <c r="F1773" s="2025">
        <f>SUM(F1774:F1776)</f>
        <v>100000</v>
      </c>
      <c r="G1773" s="1967"/>
    </row>
    <row r="1774" spans="1:7" ht="17.100000000000001" customHeight="1">
      <c r="A1774" s="848"/>
      <c r="B1774" s="860"/>
      <c r="C1774" s="1937" t="s">
        <v>524</v>
      </c>
      <c r="D1774" s="1938" t="s">
        <v>525</v>
      </c>
      <c r="E1774" s="2024">
        <v>0</v>
      </c>
      <c r="F1774" s="2025">
        <v>83452</v>
      </c>
      <c r="G1774" s="1967"/>
    </row>
    <row r="1775" spans="1:7" ht="17.100000000000001" customHeight="1">
      <c r="A1775" s="848"/>
      <c r="B1775" s="860"/>
      <c r="C1775" s="1937" t="s">
        <v>528</v>
      </c>
      <c r="D1775" s="1938" t="s">
        <v>529</v>
      </c>
      <c r="E1775" s="2024">
        <v>0</v>
      </c>
      <c r="F1775" s="2025">
        <v>14504</v>
      </c>
      <c r="G1775" s="1967"/>
    </row>
    <row r="1776" spans="1:7" ht="17.100000000000001" customHeight="1" thickBot="1">
      <c r="A1776" s="848"/>
      <c r="B1776" s="860"/>
      <c r="C1776" s="1937" t="s">
        <v>530</v>
      </c>
      <c r="D1776" s="1938" t="s">
        <v>531</v>
      </c>
      <c r="E1776" s="2024">
        <v>0</v>
      </c>
      <c r="F1776" s="2025">
        <v>2044</v>
      </c>
      <c r="G1776" s="1967"/>
    </row>
    <row r="1777" spans="1:7" ht="17.100000000000001" hidden="1" customHeight="1" thickBot="1">
      <c r="A1777" s="1420"/>
      <c r="B1777" s="1072" t="s">
        <v>932</v>
      </c>
      <c r="C1777" s="1073"/>
      <c r="D1777" s="1074" t="s">
        <v>933</v>
      </c>
      <c r="E1777" s="1652">
        <f>E1778</f>
        <v>10000</v>
      </c>
      <c r="F1777" s="1653">
        <f t="shared" ref="F1777:F1779" si="364">F1778</f>
        <v>0</v>
      </c>
      <c r="G1777" s="1654">
        <f t="shared" si="360"/>
        <v>0</v>
      </c>
    </row>
    <row r="1778" spans="1:7" ht="17.100000000000001" hidden="1" customHeight="1">
      <c r="A1778" s="1420"/>
      <c r="B1778" s="2838"/>
      <c r="C1778" s="2802" t="s">
        <v>521</v>
      </c>
      <c r="D1778" s="2802"/>
      <c r="E1778" s="1655">
        <f>E1779</f>
        <v>10000</v>
      </c>
      <c r="F1778" s="1656">
        <f t="shared" si="364"/>
        <v>0</v>
      </c>
      <c r="G1778" s="1657">
        <f t="shared" si="360"/>
        <v>0</v>
      </c>
    </row>
    <row r="1779" spans="1:7" ht="17.100000000000001" hidden="1" customHeight="1">
      <c r="A1779" s="1420"/>
      <c r="B1779" s="2839"/>
      <c r="C1779" s="2841" t="s">
        <v>618</v>
      </c>
      <c r="D1779" s="2841"/>
      <c r="E1779" s="2026">
        <f>E1780</f>
        <v>10000</v>
      </c>
      <c r="F1779" s="2027">
        <f t="shared" si="364"/>
        <v>0</v>
      </c>
      <c r="G1779" s="2028">
        <f t="shared" si="360"/>
        <v>0</v>
      </c>
    </row>
    <row r="1780" spans="1:7" ht="27" hidden="1" customHeight="1" thickBot="1">
      <c r="A1780" s="1420"/>
      <c r="B1780" s="2840"/>
      <c r="C1780" s="1937" t="s">
        <v>298</v>
      </c>
      <c r="D1780" s="1938" t="s">
        <v>708</v>
      </c>
      <c r="E1780" s="2029">
        <v>10000</v>
      </c>
      <c r="F1780" s="2030">
        <v>0</v>
      </c>
      <c r="G1780" s="2031">
        <f t="shared" si="360"/>
        <v>0</v>
      </c>
    </row>
    <row r="1781" spans="1:7" ht="17.100000000000001" customHeight="1" thickBot="1">
      <c r="A1781" s="1430"/>
      <c r="B1781" s="1072" t="s">
        <v>77</v>
      </c>
      <c r="C1781" s="1073"/>
      <c r="D1781" s="1074" t="s">
        <v>481</v>
      </c>
      <c r="E1781" s="1652">
        <f t="shared" ref="E1781:F1781" si="365">SUM(E1782)</f>
        <v>155011</v>
      </c>
      <c r="F1781" s="1653">
        <f t="shared" si="365"/>
        <v>172765</v>
      </c>
      <c r="G1781" s="1654">
        <f t="shared" si="360"/>
        <v>1.1145338072781932</v>
      </c>
    </row>
    <row r="1782" spans="1:7" ht="17.100000000000001" customHeight="1">
      <c r="A1782" s="848"/>
      <c r="B1782" s="2806"/>
      <c r="C1782" s="2802" t="s">
        <v>521</v>
      </c>
      <c r="D1782" s="2802"/>
      <c r="E1782" s="1655">
        <f>E1783+E1788</f>
        <v>155011</v>
      </c>
      <c r="F1782" s="1656">
        <f t="shared" ref="F1782" si="366">F1783+F1788</f>
        <v>172765</v>
      </c>
      <c r="G1782" s="1657">
        <f t="shared" si="360"/>
        <v>1.1145338072781932</v>
      </c>
    </row>
    <row r="1783" spans="1:7" ht="17.100000000000001" customHeight="1">
      <c r="A1783" s="848"/>
      <c r="B1783" s="2806"/>
      <c r="C1783" s="2831" t="s">
        <v>522</v>
      </c>
      <c r="D1783" s="2831"/>
      <c r="E1783" s="2032">
        <f t="shared" ref="E1783:F1783" si="367">E1784</f>
        <v>150011</v>
      </c>
      <c r="F1783" s="2033">
        <f t="shared" si="367"/>
        <v>167765</v>
      </c>
      <c r="G1783" s="2034">
        <f t="shared" si="360"/>
        <v>1.1183513209031337</v>
      </c>
    </row>
    <row r="1784" spans="1:7" ht="17.100000000000001" customHeight="1">
      <c r="A1784" s="848"/>
      <c r="B1784" s="2806"/>
      <c r="C1784" s="2832" t="s">
        <v>534</v>
      </c>
      <c r="D1784" s="2832"/>
      <c r="E1784" s="2035">
        <f>SUM(E1785:E1786)</f>
        <v>150011</v>
      </c>
      <c r="F1784" s="2036">
        <f t="shared" ref="F1784" si="368">SUM(F1785:F1786)</f>
        <v>167765</v>
      </c>
      <c r="G1784" s="2037">
        <f t="shared" si="360"/>
        <v>1.1183513209031337</v>
      </c>
    </row>
    <row r="1785" spans="1:7" ht="17.100000000000001" customHeight="1">
      <c r="A1785" s="848"/>
      <c r="B1785" s="2806"/>
      <c r="C1785" s="2038" t="s">
        <v>537</v>
      </c>
      <c r="D1785" s="1953" t="s">
        <v>538</v>
      </c>
      <c r="E1785" s="2032">
        <f>10000</f>
        <v>10000</v>
      </c>
      <c r="F1785" s="2033">
        <v>10000</v>
      </c>
      <c r="G1785" s="2034">
        <f t="shared" si="360"/>
        <v>1</v>
      </c>
    </row>
    <row r="1786" spans="1:7" ht="17.100000000000001" customHeight="1">
      <c r="A1786" s="848"/>
      <c r="B1786" s="2806"/>
      <c r="C1786" s="1937" t="s">
        <v>547</v>
      </c>
      <c r="D1786" s="1938" t="s">
        <v>548</v>
      </c>
      <c r="E1786" s="2032">
        <f>140011</f>
        <v>140011</v>
      </c>
      <c r="F1786" s="2033">
        <f>107065+50700</f>
        <v>157765</v>
      </c>
      <c r="G1786" s="2034">
        <f t="shared" si="360"/>
        <v>1.1268043225175164</v>
      </c>
    </row>
    <row r="1787" spans="1:7" ht="13.5" customHeight="1">
      <c r="A1787" s="848"/>
      <c r="B1787" s="974"/>
      <c r="C1787" s="2039"/>
      <c r="D1787" s="1953"/>
      <c r="E1787" s="2032"/>
      <c r="F1787" s="2033"/>
      <c r="G1787" s="2034"/>
    </row>
    <row r="1788" spans="1:7" ht="17.100000000000001" customHeight="1">
      <c r="A1788" s="848"/>
      <c r="B1788" s="974"/>
      <c r="C1788" s="2841" t="s">
        <v>618</v>
      </c>
      <c r="D1788" s="2841"/>
      <c r="E1788" s="2026">
        <f>E1789</f>
        <v>5000</v>
      </c>
      <c r="F1788" s="2027">
        <f t="shared" ref="F1788" si="369">F1789</f>
        <v>5000</v>
      </c>
      <c r="G1788" s="2028">
        <f t="shared" si="360"/>
        <v>1</v>
      </c>
    </row>
    <row r="1789" spans="1:7" ht="48.75" customHeight="1" thickBot="1">
      <c r="A1789" s="848"/>
      <c r="B1789" s="974"/>
      <c r="C1789" s="2040" t="s">
        <v>633</v>
      </c>
      <c r="D1789" s="2041" t="s">
        <v>634</v>
      </c>
      <c r="E1789" s="2032">
        <v>5000</v>
      </c>
      <c r="F1789" s="2033">
        <v>5000</v>
      </c>
      <c r="G1789" s="2034">
        <f t="shared" si="360"/>
        <v>1</v>
      </c>
    </row>
    <row r="1790" spans="1:7" ht="17.100000000000001" customHeight="1" thickBot="1">
      <c r="A1790" s="1430"/>
      <c r="B1790" s="1072" t="s">
        <v>934</v>
      </c>
      <c r="C1790" s="1073"/>
      <c r="D1790" s="1074" t="s">
        <v>483</v>
      </c>
      <c r="E1790" s="1652">
        <f t="shared" ref="E1790:F1793" si="370">E1791</f>
        <v>150000</v>
      </c>
      <c r="F1790" s="1653">
        <f t="shared" si="370"/>
        <v>150000</v>
      </c>
      <c r="G1790" s="1654">
        <f>F1790/E1790</f>
        <v>1</v>
      </c>
    </row>
    <row r="1791" spans="1:7" ht="17.25" customHeight="1">
      <c r="A1791" s="848"/>
      <c r="B1791" s="974"/>
      <c r="C1791" s="2802" t="s">
        <v>521</v>
      </c>
      <c r="D1791" s="2802"/>
      <c r="E1791" s="1664">
        <f t="shared" si="370"/>
        <v>150000</v>
      </c>
      <c r="F1791" s="1665">
        <f t="shared" si="370"/>
        <v>150000</v>
      </c>
      <c r="G1791" s="2042">
        <f>F1791/E1791</f>
        <v>1</v>
      </c>
    </row>
    <row r="1792" spans="1:7" ht="17.25" customHeight="1">
      <c r="A1792" s="848"/>
      <c r="B1792" s="974"/>
      <c r="C1792" s="2831" t="s">
        <v>522</v>
      </c>
      <c r="D1792" s="2831"/>
      <c r="E1792" s="2026">
        <f t="shared" si="370"/>
        <v>150000</v>
      </c>
      <c r="F1792" s="2027">
        <f t="shared" si="370"/>
        <v>150000</v>
      </c>
      <c r="G1792" s="2028">
        <f t="shared" ref="G1792:G1794" si="371">F1792/E1792</f>
        <v>1</v>
      </c>
    </row>
    <row r="1793" spans="1:7" ht="18.75" customHeight="1">
      <c r="A1793" s="848"/>
      <c r="B1793" s="974"/>
      <c r="C1793" s="2832" t="s">
        <v>534</v>
      </c>
      <c r="D1793" s="2832"/>
      <c r="E1793" s="2026">
        <f t="shared" si="370"/>
        <v>150000</v>
      </c>
      <c r="F1793" s="2027">
        <f t="shared" si="370"/>
        <v>150000</v>
      </c>
      <c r="G1793" s="2028">
        <f t="shared" si="371"/>
        <v>1</v>
      </c>
    </row>
    <row r="1794" spans="1:7" ht="16.5" customHeight="1" thickBot="1">
      <c r="A1794" s="848"/>
      <c r="B1794" s="974"/>
      <c r="C1794" s="2038" t="s">
        <v>547</v>
      </c>
      <c r="D1794" s="1953" t="s">
        <v>548</v>
      </c>
      <c r="E1794" s="2026">
        <v>150000</v>
      </c>
      <c r="F1794" s="2027">
        <v>150000</v>
      </c>
      <c r="G1794" s="2043">
        <f t="shared" si="371"/>
        <v>1</v>
      </c>
    </row>
    <row r="1795" spans="1:7" ht="18.75" hidden="1" customHeight="1" thickBot="1">
      <c r="A1795" s="848"/>
      <c r="B1795" s="1072" t="s">
        <v>935</v>
      </c>
      <c r="C1795" s="1073"/>
      <c r="D1795" s="1074" t="s">
        <v>936</v>
      </c>
      <c r="E1795" s="1652">
        <f>E1796</f>
        <v>10000</v>
      </c>
      <c r="F1795" s="1653">
        <f t="shared" ref="F1795:F1797" si="372">F1796</f>
        <v>0</v>
      </c>
      <c r="G1795" s="1654">
        <f t="shared" si="360"/>
        <v>0</v>
      </c>
    </row>
    <row r="1796" spans="1:7" ht="15.75" hidden="1" customHeight="1">
      <c r="A1796" s="848"/>
      <c r="B1796" s="2838"/>
      <c r="C1796" s="2802" t="s">
        <v>574</v>
      </c>
      <c r="D1796" s="2802"/>
      <c r="E1796" s="1655">
        <f>E1797</f>
        <v>10000</v>
      </c>
      <c r="F1796" s="1656">
        <f t="shared" si="372"/>
        <v>0</v>
      </c>
      <c r="G1796" s="1657">
        <f t="shared" si="360"/>
        <v>0</v>
      </c>
    </row>
    <row r="1797" spans="1:7" ht="15" hidden="1" customHeight="1">
      <c r="A1797" s="848"/>
      <c r="B1797" s="2839"/>
      <c r="C1797" s="2841" t="s">
        <v>575</v>
      </c>
      <c r="D1797" s="2841"/>
      <c r="E1797" s="2026">
        <f>E1798</f>
        <v>10000</v>
      </c>
      <c r="F1797" s="2027">
        <f t="shared" si="372"/>
        <v>0</v>
      </c>
      <c r="G1797" s="2028">
        <f t="shared" si="360"/>
        <v>0</v>
      </c>
    </row>
    <row r="1798" spans="1:7" ht="40.5" hidden="1" customHeight="1" thickBot="1">
      <c r="A1798" s="848"/>
      <c r="B1798" s="2840"/>
      <c r="C1798" s="1937" t="s">
        <v>695</v>
      </c>
      <c r="D1798" s="1938" t="s">
        <v>696</v>
      </c>
      <c r="E1798" s="2029">
        <v>10000</v>
      </c>
      <c r="F1798" s="2030">
        <v>0</v>
      </c>
      <c r="G1798" s="2031">
        <f t="shared" si="360"/>
        <v>0</v>
      </c>
    </row>
    <row r="1799" spans="1:7" ht="28.5" customHeight="1" thickBot="1">
      <c r="A1799" s="848"/>
      <c r="B1799" s="1072" t="s">
        <v>937</v>
      </c>
      <c r="C1799" s="1073"/>
      <c r="D1799" s="1074" t="s">
        <v>485</v>
      </c>
      <c r="E1799" s="2044">
        <f>E1800+E1810</f>
        <v>719103</v>
      </c>
      <c r="F1799" s="2045">
        <f t="shared" ref="F1799" si="373">F1800+F1810</f>
        <v>350000</v>
      </c>
      <c r="G1799" s="2046">
        <f t="shared" si="360"/>
        <v>0.48671747997157572</v>
      </c>
    </row>
    <row r="1800" spans="1:7" ht="17.100000000000001" customHeight="1">
      <c r="A1800" s="848"/>
      <c r="B1800" s="2806"/>
      <c r="C1800" s="2802" t="s">
        <v>521</v>
      </c>
      <c r="D1800" s="2802"/>
      <c r="E1800" s="1655">
        <f t="shared" ref="E1800:F1800" si="374">SUM(E1801)</f>
        <v>699103</v>
      </c>
      <c r="F1800" s="1656">
        <f t="shared" si="374"/>
        <v>350000</v>
      </c>
      <c r="G1800" s="1657">
        <f t="shared" si="360"/>
        <v>0.50064153636874675</v>
      </c>
    </row>
    <row r="1801" spans="1:7" ht="17.100000000000001" customHeight="1">
      <c r="A1801" s="848"/>
      <c r="B1801" s="2806"/>
      <c r="C1801" s="2831" t="s">
        <v>522</v>
      </c>
      <c r="D1801" s="2831"/>
      <c r="E1801" s="2032">
        <f>SUM(E1802,E1807)</f>
        <v>699103</v>
      </c>
      <c r="F1801" s="2033">
        <f t="shared" ref="F1801" si="375">SUM(F1802,F1807)</f>
        <v>350000</v>
      </c>
      <c r="G1801" s="2034">
        <f t="shared" si="360"/>
        <v>0.50064153636874675</v>
      </c>
    </row>
    <row r="1802" spans="1:7" ht="17.100000000000001" customHeight="1">
      <c r="A1802" s="848"/>
      <c r="B1802" s="2806"/>
      <c r="C1802" s="2788" t="s">
        <v>523</v>
      </c>
      <c r="D1802" s="2788"/>
      <c r="E1802" s="2035">
        <f>SUM(E1803:E1805)</f>
        <v>684103</v>
      </c>
      <c r="F1802" s="2036">
        <f t="shared" ref="F1802" si="376">SUM(F1803:F1805)</f>
        <v>335000</v>
      </c>
      <c r="G1802" s="2037">
        <f t="shared" si="360"/>
        <v>0.48969234165030706</v>
      </c>
    </row>
    <row r="1803" spans="1:7" ht="17.100000000000001" customHeight="1">
      <c r="A1803" s="848"/>
      <c r="B1803" s="2806"/>
      <c r="C1803" s="2047" t="s">
        <v>524</v>
      </c>
      <c r="D1803" s="2048" t="s">
        <v>525</v>
      </c>
      <c r="E1803" s="2032">
        <v>570895</v>
      </c>
      <c r="F1803" s="2033">
        <v>279563</v>
      </c>
      <c r="G1803" s="2034">
        <f t="shared" si="360"/>
        <v>0.48969250037222256</v>
      </c>
    </row>
    <row r="1804" spans="1:7" ht="17.100000000000001" customHeight="1">
      <c r="A1804" s="848"/>
      <c r="B1804" s="2806"/>
      <c r="C1804" s="1937" t="s">
        <v>528</v>
      </c>
      <c r="D1804" s="1938" t="s">
        <v>529</v>
      </c>
      <c r="E1804" s="2032">
        <v>99216</v>
      </c>
      <c r="F1804" s="2033">
        <v>48588</v>
      </c>
      <c r="G1804" s="2034">
        <f t="shared" si="360"/>
        <v>0.48971940009675857</v>
      </c>
    </row>
    <row r="1805" spans="1:7" ht="17.100000000000001" customHeight="1">
      <c r="A1805" s="848"/>
      <c r="B1805" s="2806"/>
      <c r="C1805" s="1937" t="s">
        <v>530</v>
      </c>
      <c r="D1805" s="1938" t="s">
        <v>531</v>
      </c>
      <c r="E1805" s="2032">
        <v>13992</v>
      </c>
      <c r="F1805" s="2033">
        <v>6849</v>
      </c>
      <c r="G1805" s="2034">
        <f t="shared" si="360"/>
        <v>0.48949399656946829</v>
      </c>
    </row>
    <row r="1806" spans="1:7" ht="17.100000000000001" customHeight="1">
      <c r="A1806" s="848"/>
      <c r="B1806" s="2806"/>
      <c r="C1806" s="1366"/>
      <c r="D1806" s="1376"/>
      <c r="E1806" s="2049"/>
      <c r="F1806" s="2050"/>
      <c r="G1806" s="2042"/>
    </row>
    <row r="1807" spans="1:7" ht="17.100000000000001" customHeight="1">
      <c r="A1807" s="848"/>
      <c r="B1807" s="2806"/>
      <c r="C1807" s="2832" t="s">
        <v>534</v>
      </c>
      <c r="D1807" s="2832"/>
      <c r="E1807" s="2035">
        <f>E1808</f>
        <v>15000</v>
      </c>
      <c r="F1807" s="2036">
        <f>F1808</f>
        <v>15000</v>
      </c>
      <c r="G1807" s="2037">
        <f t="shared" si="360"/>
        <v>1</v>
      </c>
    </row>
    <row r="1808" spans="1:7" ht="17.100000000000001" customHeight="1" thickBot="1">
      <c r="A1808" s="848"/>
      <c r="B1808" s="2806"/>
      <c r="C1808" s="1937" t="s">
        <v>569</v>
      </c>
      <c r="D1808" s="1938" t="s">
        <v>570</v>
      </c>
      <c r="E1808" s="2032">
        <v>15000</v>
      </c>
      <c r="F1808" s="2033">
        <v>15000</v>
      </c>
      <c r="G1808" s="2034">
        <f t="shared" si="360"/>
        <v>1</v>
      </c>
    </row>
    <row r="1809" spans="1:7" ht="17.100000000000001" hidden="1" customHeight="1">
      <c r="A1809" s="848"/>
      <c r="B1809" s="974"/>
      <c r="C1809" s="2821"/>
      <c r="D1809" s="2834"/>
      <c r="E1809" s="2032"/>
      <c r="F1809" s="2033"/>
      <c r="G1809" s="2034"/>
    </row>
    <row r="1810" spans="1:7" ht="17.100000000000001" hidden="1" customHeight="1">
      <c r="A1810" s="848"/>
      <c r="B1810" s="974"/>
      <c r="C1810" s="2804" t="s">
        <v>574</v>
      </c>
      <c r="D1810" s="2804"/>
      <c r="E1810" s="1655">
        <f t="shared" ref="E1810:F1810" si="377">E1811</f>
        <v>20000</v>
      </c>
      <c r="F1810" s="1656">
        <f t="shared" si="377"/>
        <v>0</v>
      </c>
      <c r="G1810" s="1657">
        <f t="shared" si="360"/>
        <v>0</v>
      </c>
    </row>
    <row r="1811" spans="1:7" ht="17.100000000000001" hidden="1" customHeight="1">
      <c r="A1811" s="848"/>
      <c r="B1811" s="974"/>
      <c r="C1811" s="2835" t="s">
        <v>575</v>
      </c>
      <c r="D1811" s="2836"/>
      <c r="E1811" s="2032">
        <f>SUM(E1812:E1812)</f>
        <v>20000</v>
      </c>
      <c r="F1811" s="2033">
        <f t="shared" ref="F1811" si="378">SUM(F1812:F1812)</f>
        <v>0</v>
      </c>
      <c r="G1811" s="2034">
        <f t="shared" si="360"/>
        <v>0</v>
      </c>
    </row>
    <row r="1812" spans="1:7" ht="17.100000000000001" hidden="1" customHeight="1" thickBot="1">
      <c r="A1812" s="848"/>
      <c r="B1812" s="974"/>
      <c r="C1812" s="1036" t="s">
        <v>576</v>
      </c>
      <c r="D1812" s="1037" t="s">
        <v>622</v>
      </c>
      <c r="E1812" s="2026">
        <v>20000</v>
      </c>
      <c r="F1812" s="2027">
        <v>0</v>
      </c>
      <c r="G1812" s="2028">
        <f t="shared" si="360"/>
        <v>0</v>
      </c>
    </row>
    <row r="1813" spans="1:7" ht="27" customHeight="1" thickBot="1">
      <c r="A1813" s="848"/>
      <c r="B1813" s="1072" t="s">
        <v>938</v>
      </c>
      <c r="C1813" s="1073"/>
      <c r="D1813" s="1074" t="s">
        <v>487</v>
      </c>
      <c r="E1813" s="1652">
        <f t="shared" ref="E1813:F1814" si="379">E1814</f>
        <v>17057</v>
      </c>
      <c r="F1813" s="1653">
        <f t="shared" si="379"/>
        <v>10600</v>
      </c>
      <c r="G1813" s="1654">
        <f t="shared" si="360"/>
        <v>0.62144574075159753</v>
      </c>
    </row>
    <row r="1814" spans="1:7" ht="17.100000000000001" customHeight="1">
      <c r="A1814" s="848"/>
      <c r="B1814" s="2806"/>
      <c r="C1814" s="2802" t="s">
        <v>521</v>
      </c>
      <c r="D1814" s="2802"/>
      <c r="E1814" s="1655">
        <f t="shared" si="379"/>
        <v>17057</v>
      </c>
      <c r="F1814" s="1656">
        <f t="shared" si="379"/>
        <v>10600</v>
      </c>
      <c r="G1814" s="1657">
        <f t="shared" si="360"/>
        <v>0.62144574075159753</v>
      </c>
    </row>
    <row r="1815" spans="1:7" ht="16.5" customHeight="1">
      <c r="A1815" s="848"/>
      <c r="B1815" s="2806"/>
      <c r="C1815" s="2831" t="s">
        <v>522</v>
      </c>
      <c r="D1815" s="2831"/>
      <c r="E1815" s="2032">
        <f>SUM(E1821+E1816)</f>
        <v>17057</v>
      </c>
      <c r="F1815" s="2033">
        <f>SUM(F1821+F1816)</f>
        <v>10600</v>
      </c>
      <c r="G1815" s="2034">
        <f t="shared" si="360"/>
        <v>0.62144574075159753</v>
      </c>
    </row>
    <row r="1816" spans="1:7" ht="17.25" customHeight="1">
      <c r="A1816" s="848"/>
      <c r="B1816" s="2806"/>
      <c r="C1816" s="2788" t="s">
        <v>523</v>
      </c>
      <c r="D1816" s="2788"/>
      <c r="E1816" s="2026">
        <f>E1817+E1818+E1819</f>
        <v>0</v>
      </c>
      <c r="F1816" s="2027">
        <f>F1817+F1818+F1819</f>
        <v>10600</v>
      </c>
      <c r="G1816" s="2034"/>
    </row>
    <row r="1817" spans="1:7" ht="16.5" customHeight="1">
      <c r="A1817" s="848"/>
      <c r="B1817" s="2806"/>
      <c r="C1817" s="2047" t="s">
        <v>524</v>
      </c>
      <c r="D1817" s="2048" t="s">
        <v>525</v>
      </c>
      <c r="E1817" s="2026">
        <v>0</v>
      </c>
      <c r="F1817" s="2027">
        <v>8846</v>
      </c>
      <c r="G1817" s="2034"/>
    </row>
    <row r="1818" spans="1:7" ht="17.25" customHeight="1">
      <c r="A1818" s="848"/>
      <c r="B1818" s="2806"/>
      <c r="C1818" s="1937" t="s">
        <v>528</v>
      </c>
      <c r="D1818" s="1938" t="s">
        <v>529</v>
      </c>
      <c r="E1818" s="2026">
        <v>0</v>
      </c>
      <c r="F1818" s="2027">
        <v>1537</v>
      </c>
      <c r="G1818" s="2034"/>
    </row>
    <row r="1819" spans="1:7" ht="16.5" customHeight="1" thickBot="1">
      <c r="A1819" s="848"/>
      <c r="B1819" s="2806"/>
      <c r="C1819" s="1937" t="s">
        <v>530</v>
      </c>
      <c r="D1819" s="1938" t="s">
        <v>531</v>
      </c>
      <c r="E1819" s="2026">
        <v>0</v>
      </c>
      <c r="F1819" s="2027">
        <v>217</v>
      </c>
      <c r="G1819" s="2034"/>
    </row>
    <row r="1820" spans="1:7" ht="12.75" hidden="1" customHeight="1">
      <c r="A1820" s="848"/>
      <c r="B1820" s="2806"/>
      <c r="C1820" s="2051"/>
      <c r="D1820" s="2051"/>
      <c r="E1820" s="2026"/>
      <c r="F1820" s="2027"/>
      <c r="G1820" s="2028"/>
    </row>
    <row r="1821" spans="1:7" ht="17.100000000000001" hidden="1" customHeight="1">
      <c r="A1821" s="848"/>
      <c r="B1821" s="2806"/>
      <c r="C1821" s="2837" t="s">
        <v>534</v>
      </c>
      <c r="D1821" s="2837"/>
      <c r="E1821" s="2052">
        <f t="shared" ref="E1821:F1821" si="380">E1822</f>
        <v>17057</v>
      </c>
      <c r="F1821" s="2053">
        <f t="shared" si="380"/>
        <v>0</v>
      </c>
      <c r="G1821" s="2054">
        <f t="shared" si="360"/>
        <v>0</v>
      </c>
    </row>
    <row r="1822" spans="1:7" ht="17.100000000000001" hidden="1" customHeight="1" thickBot="1">
      <c r="A1822" s="848"/>
      <c r="B1822" s="2806"/>
      <c r="C1822" s="1400" t="s">
        <v>537</v>
      </c>
      <c r="D1822" s="1370" t="s">
        <v>538</v>
      </c>
      <c r="E1822" s="1649">
        <v>17057</v>
      </c>
      <c r="F1822" s="1650">
        <v>0</v>
      </c>
      <c r="G1822" s="2043">
        <f t="shared" si="360"/>
        <v>0</v>
      </c>
    </row>
    <row r="1823" spans="1:7" ht="24.75" customHeight="1" thickBot="1">
      <c r="A1823" s="848"/>
      <c r="B1823" s="1072" t="s">
        <v>939</v>
      </c>
      <c r="C1823" s="1073"/>
      <c r="D1823" s="1074" t="s">
        <v>940</v>
      </c>
      <c r="E1823" s="1652">
        <f t="shared" ref="E1823:F1824" si="381">E1824</f>
        <v>2834</v>
      </c>
      <c r="F1823" s="1653">
        <f t="shared" si="381"/>
        <v>1200</v>
      </c>
      <c r="G1823" s="1654">
        <f t="shared" si="360"/>
        <v>0.42342978122794639</v>
      </c>
    </row>
    <row r="1824" spans="1:7" ht="17.100000000000001" customHeight="1">
      <c r="A1824" s="848"/>
      <c r="B1824" s="2830"/>
      <c r="C1824" s="2802" t="s">
        <v>521</v>
      </c>
      <c r="D1824" s="2802"/>
      <c r="E1824" s="1655">
        <f>E1825</f>
        <v>2834</v>
      </c>
      <c r="F1824" s="1656">
        <f t="shared" si="381"/>
        <v>1200</v>
      </c>
      <c r="G1824" s="1657">
        <f t="shared" si="360"/>
        <v>0.42342978122794639</v>
      </c>
    </row>
    <row r="1825" spans="1:7" ht="17.100000000000001" customHeight="1">
      <c r="A1825" s="848"/>
      <c r="B1825" s="2830"/>
      <c r="C1825" s="2831" t="s">
        <v>522</v>
      </c>
      <c r="D1825" s="2831"/>
      <c r="E1825" s="2032">
        <f>SUM(E1831+E1826)</f>
        <v>2834</v>
      </c>
      <c r="F1825" s="2033">
        <f>SUM(F1831+F1826)</f>
        <v>1200</v>
      </c>
      <c r="G1825" s="2034">
        <f t="shared" si="360"/>
        <v>0.42342978122794639</v>
      </c>
    </row>
    <row r="1826" spans="1:7" ht="17.100000000000001" hidden="1" customHeight="1">
      <c r="A1826" s="848"/>
      <c r="B1826" s="2830"/>
      <c r="C1826" s="2788" t="s">
        <v>523</v>
      </c>
      <c r="D1826" s="2788"/>
      <c r="E1826" s="2032">
        <f>E1827+E1828+E1829</f>
        <v>1334</v>
      </c>
      <c r="F1826" s="2033">
        <f>F1827+F1828+F1829</f>
        <v>0</v>
      </c>
      <c r="G1826" s="2034">
        <f t="shared" si="360"/>
        <v>0</v>
      </c>
    </row>
    <row r="1827" spans="1:7" ht="17.100000000000001" hidden="1" customHeight="1">
      <c r="A1827" s="848"/>
      <c r="B1827" s="2830"/>
      <c r="C1827" s="2047" t="s">
        <v>524</v>
      </c>
      <c r="D1827" s="2048" t="s">
        <v>525</v>
      </c>
      <c r="E1827" s="2032">
        <v>1113</v>
      </c>
      <c r="F1827" s="2033">
        <v>0</v>
      </c>
      <c r="G1827" s="2034">
        <f t="shared" si="360"/>
        <v>0</v>
      </c>
    </row>
    <row r="1828" spans="1:7" ht="17.100000000000001" hidden="1" customHeight="1">
      <c r="A1828" s="848"/>
      <c r="B1828" s="2830"/>
      <c r="C1828" s="1937" t="s">
        <v>528</v>
      </c>
      <c r="D1828" s="1938" t="s">
        <v>529</v>
      </c>
      <c r="E1828" s="2032">
        <v>194</v>
      </c>
      <c r="F1828" s="2033">
        <v>0</v>
      </c>
      <c r="G1828" s="2034">
        <f t="shared" si="360"/>
        <v>0</v>
      </c>
    </row>
    <row r="1829" spans="1:7" ht="17.100000000000001" hidden="1" customHeight="1">
      <c r="A1829" s="848"/>
      <c r="B1829" s="2830"/>
      <c r="C1829" s="1937" t="s">
        <v>530</v>
      </c>
      <c r="D1829" s="1938" t="s">
        <v>531</v>
      </c>
      <c r="E1829" s="2032">
        <v>27</v>
      </c>
      <c r="F1829" s="2033">
        <v>0</v>
      </c>
      <c r="G1829" s="2034">
        <f t="shared" si="360"/>
        <v>0</v>
      </c>
    </row>
    <row r="1830" spans="1:7" ht="17.100000000000001" hidden="1" customHeight="1">
      <c r="A1830" s="848"/>
      <c r="B1830" s="2830"/>
      <c r="C1830" s="2051"/>
      <c r="D1830" s="2051"/>
      <c r="E1830" s="2032"/>
      <c r="F1830" s="2033"/>
      <c r="G1830" s="2034"/>
    </row>
    <row r="1831" spans="1:7" ht="17.100000000000001" customHeight="1">
      <c r="A1831" s="848"/>
      <c r="B1831" s="2830"/>
      <c r="C1831" s="2832" t="s">
        <v>534</v>
      </c>
      <c r="D1831" s="2832"/>
      <c r="E1831" s="2035">
        <f t="shared" ref="E1831:F1831" si="382">E1833+E1832</f>
        <v>1500</v>
      </c>
      <c r="F1831" s="2036">
        <f t="shared" si="382"/>
        <v>1200</v>
      </c>
      <c r="G1831" s="2037">
        <f t="shared" si="360"/>
        <v>0.8</v>
      </c>
    </row>
    <row r="1832" spans="1:7" ht="17.100000000000001" hidden="1" customHeight="1">
      <c r="A1832" s="848"/>
      <c r="B1832" s="2830"/>
      <c r="C1832" s="1937" t="s">
        <v>537</v>
      </c>
      <c r="D1832" s="1938" t="s">
        <v>538</v>
      </c>
      <c r="E1832" s="2032"/>
      <c r="F1832" s="2033"/>
      <c r="G1832" s="2034" t="e">
        <f t="shared" si="360"/>
        <v>#DIV/0!</v>
      </c>
    </row>
    <row r="1833" spans="1:7" ht="17.100000000000001" customHeight="1" thickBot="1">
      <c r="A1833" s="848"/>
      <c r="B1833" s="2830"/>
      <c r="C1833" s="1922" t="s">
        <v>569</v>
      </c>
      <c r="D1833" s="1944" t="s">
        <v>570</v>
      </c>
      <c r="E1833" s="2026">
        <v>1500</v>
      </c>
      <c r="F1833" s="2027">
        <v>1200</v>
      </c>
      <c r="G1833" s="2028">
        <f t="shared" si="360"/>
        <v>0.8</v>
      </c>
    </row>
    <row r="1834" spans="1:7" ht="17.100000000000001" customHeight="1" thickBot="1">
      <c r="A1834" s="848"/>
      <c r="B1834" s="1072" t="s">
        <v>941</v>
      </c>
      <c r="C1834" s="1073"/>
      <c r="D1834" s="1074" t="s">
        <v>254</v>
      </c>
      <c r="E1834" s="1652">
        <f>E1835+E1846</f>
        <v>141800</v>
      </c>
      <c r="F1834" s="1653">
        <f>F1835+F1846</f>
        <v>59000</v>
      </c>
      <c r="G1834" s="1076">
        <f t="shared" si="360"/>
        <v>0.41607898448519043</v>
      </c>
    </row>
    <row r="1835" spans="1:7" ht="17.100000000000001" customHeight="1">
      <c r="A1835" s="848"/>
      <c r="B1835" s="2806"/>
      <c r="C1835" s="2802" t="s">
        <v>521</v>
      </c>
      <c r="D1835" s="2802"/>
      <c r="E1835" s="1802">
        <f>E1836+E1843</f>
        <v>81800</v>
      </c>
      <c r="F1835" s="1802">
        <f>F1836+F1843</f>
        <v>59000</v>
      </c>
      <c r="G1835" s="1549">
        <f t="shared" si="360"/>
        <v>0.72127139364303183</v>
      </c>
    </row>
    <row r="1836" spans="1:7" ht="17.100000000000001" customHeight="1">
      <c r="A1836" s="848"/>
      <c r="B1836" s="2806"/>
      <c r="C1836" s="2831" t="s">
        <v>522</v>
      </c>
      <c r="D1836" s="2831"/>
      <c r="E1836" s="2025">
        <f>E1837</f>
        <v>61800</v>
      </c>
      <c r="F1836" s="2025">
        <f t="shared" ref="F1836" si="383">F1837</f>
        <v>59000</v>
      </c>
      <c r="G1836" s="1967">
        <f t="shared" si="360"/>
        <v>0.95469255663430419</v>
      </c>
    </row>
    <row r="1837" spans="1:7" ht="17.100000000000001" customHeight="1">
      <c r="A1837" s="848"/>
      <c r="B1837" s="2806"/>
      <c r="C1837" s="2833" t="s">
        <v>534</v>
      </c>
      <c r="D1837" s="2833"/>
      <c r="E1837" s="2055">
        <f>SUM(E1838:E1841)</f>
        <v>61800</v>
      </c>
      <c r="F1837" s="2055">
        <f>SUM(F1838:F1841)</f>
        <v>59000</v>
      </c>
      <c r="G1837" s="2007">
        <f t="shared" si="360"/>
        <v>0.95469255663430419</v>
      </c>
    </row>
    <row r="1838" spans="1:7" ht="17.100000000000001" hidden="1" customHeight="1">
      <c r="A1838" s="848"/>
      <c r="B1838" s="2806"/>
      <c r="C1838" s="2040" t="s">
        <v>628</v>
      </c>
      <c r="D1838" s="2051" t="s">
        <v>602</v>
      </c>
      <c r="E1838" s="1963">
        <v>2000</v>
      </c>
      <c r="F1838" s="1963">
        <v>0</v>
      </c>
      <c r="G1838" s="1967">
        <f t="shared" si="360"/>
        <v>0</v>
      </c>
    </row>
    <row r="1839" spans="1:7" ht="17.100000000000001" customHeight="1">
      <c r="A1839" s="848"/>
      <c r="B1839" s="2806"/>
      <c r="C1839" s="2040" t="s">
        <v>537</v>
      </c>
      <c r="D1839" s="2051" t="s">
        <v>538</v>
      </c>
      <c r="E1839" s="1963">
        <v>2000</v>
      </c>
      <c r="F1839" s="1963">
        <v>5000</v>
      </c>
      <c r="G1839" s="1967">
        <f t="shared" si="360"/>
        <v>2.5</v>
      </c>
    </row>
    <row r="1840" spans="1:7" ht="17.100000000000001" customHeight="1">
      <c r="A1840" s="848"/>
      <c r="B1840" s="2806"/>
      <c r="C1840" s="1036" t="s">
        <v>547</v>
      </c>
      <c r="D1840" s="1944" t="s">
        <v>548</v>
      </c>
      <c r="E1840" s="1963">
        <v>29000</v>
      </c>
      <c r="F1840" s="1963">
        <f>20000+5000</f>
        <v>25000</v>
      </c>
      <c r="G1840" s="1926">
        <f t="shared" si="360"/>
        <v>0.86206896551724133</v>
      </c>
    </row>
    <row r="1841" spans="1:7" ht="17.100000000000001" customHeight="1" thickBot="1">
      <c r="A1841" s="848"/>
      <c r="B1841" s="2806"/>
      <c r="C1841" s="1937" t="s">
        <v>551</v>
      </c>
      <c r="D1841" s="1938" t="s">
        <v>552</v>
      </c>
      <c r="E1841" s="2056">
        <v>28800</v>
      </c>
      <c r="F1841" s="2056">
        <v>29000</v>
      </c>
      <c r="G1841" s="2057">
        <f t="shared" si="360"/>
        <v>1.0069444444444444</v>
      </c>
    </row>
    <row r="1842" spans="1:7" ht="17.100000000000001" hidden="1" customHeight="1" thickBot="1">
      <c r="A1842" s="848"/>
      <c r="B1842" s="974"/>
      <c r="C1842" s="2821"/>
      <c r="D1842" s="2822"/>
      <c r="E1842" s="2025"/>
      <c r="F1842" s="2025"/>
      <c r="G1842" s="1967"/>
    </row>
    <row r="1843" spans="1:7" ht="17.100000000000001" hidden="1" customHeight="1">
      <c r="A1843" s="848"/>
      <c r="B1843" s="974"/>
      <c r="C1843" s="2823" t="s">
        <v>618</v>
      </c>
      <c r="D1843" s="2823"/>
      <c r="E1843" s="2025">
        <f>E1844</f>
        <v>20000</v>
      </c>
      <c r="F1843" s="2025">
        <f t="shared" ref="F1843" si="384">F1844</f>
        <v>0</v>
      </c>
      <c r="G1843" s="1967">
        <f t="shared" si="360"/>
        <v>0</v>
      </c>
    </row>
    <row r="1844" spans="1:7" ht="28.5" hidden="1" customHeight="1">
      <c r="A1844" s="848"/>
      <c r="B1844" s="974"/>
      <c r="C1844" s="1937" t="s">
        <v>298</v>
      </c>
      <c r="D1844" s="1938" t="s">
        <v>708</v>
      </c>
      <c r="E1844" s="2025">
        <v>20000</v>
      </c>
      <c r="F1844" s="2025">
        <v>0</v>
      </c>
      <c r="G1844" s="1967">
        <f t="shared" si="360"/>
        <v>0</v>
      </c>
    </row>
    <row r="1845" spans="1:7" ht="17.100000000000001" hidden="1" customHeight="1">
      <c r="A1845" s="848"/>
      <c r="B1845" s="974"/>
      <c r="C1845" s="2824"/>
      <c r="D1845" s="2825"/>
      <c r="E1845" s="2025"/>
      <c r="F1845" s="2025"/>
      <c r="G1845" s="1967"/>
    </row>
    <row r="1846" spans="1:7" ht="17.100000000000001" hidden="1" customHeight="1">
      <c r="A1846" s="848"/>
      <c r="B1846" s="974"/>
      <c r="C1846" s="2826" t="s">
        <v>574</v>
      </c>
      <c r="D1846" s="2827"/>
      <c r="E1846" s="2058">
        <f>E1847</f>
        <v>60000</v>
      </c>
      <c r="F1846" s="2058">
        <f t="shared" ref="F1846:F1847" si="385">F1847</f>
        <v>0</v>
      </c>
      <c r="G1846" s="2059">
        <f t="shared" si="360"/>
        <v>0</v>
      </c>
    </row>
    <row r="1847" spans="1:7" ht="17.100000000000001" hidden="1" customHeight="1">
      <c r="A1847" s="848"/>
      <c r="B1847" s="974"/>
      <c r="C1847" s="2828" t="s">
        <v>575</v>
      </c>
      <c r="D1847" s="2829"/>
      <c r="E1847" s="2025">
        <f>E1848</f>
        <v>60000</v>
      </c>
      <c r="F1847" s="2025">
        <f t="shared" si="385"/>
        <v>0</v>
      </c>
      <c r="G1847" s="2060">
        <f t="shared" si="360"/>
        <v>0</v>
      </c>
    </row>
    <row r="1848" spans="1:7" ht="42.75" hidden="1" customHeight="1" thickBot="1">
      <c r="A1848" s="848"/>
      <c r="B1848" s="974"/>
      <c r="C1848" s="2061" t="s">
        <v>695</v>
      </c>
      <c r="D1848" s="2062" t="s">
        <v>696</v>
      </c>
      <c r="E1848" s="970">
        <f>10000+50000</f>
        <v>60000</v>
      </c>
      <c r="F1848" s="970">
        <v>0</v>
      </c>
      <c r="G1848" s="2063">
        <f t="shared" si="360"/>
        <v>0</v>
      </c>
    </row>
    <row r="1849" spans="1:7" ht="17.100000000000001" customHeight="1" thickBot="1">
      <c r="A1849" s="842" t="s">
        <v>5</v>
      </c>
      <c r="B1849" s="843"/>
      <c r="C1849" s="844"/>
      <c r="D1849" s="845" t="s">
        <v>942</v>
      </c>
      <c r="E1849" s="2064">
        <f>E1850+E1859+E1868+E1873+E1890+E1896+E1905+E1914+E1924+E1934</f>
        <v>81095650</v>
      </c>
      <c r="F1849" s="1208">
        <f>F1850+F1859+F1868+F1873+F1890+F1896+F1905+F1914+F1924+F1934</f>
        <v>83061449</v>
      </c>
      <c r="G1849" s="2065">
        <f t="shared" ref="G1849:G1914" si="386">F1849/E1849</f>
        <v>1.0242404987197218</v>
      </c>
    </row>
    <row r="1850" spans="1:7" ht="17.100000000000001" customHeight="1" thickBot="1">
      <c r="A1850" s="848"/>
      <c r="B1850" s="1072" t="s">
        <v>78</v>
      </c>
      <c r="C1850" s="1073"/>
      <c r="D1850" s="1074" t="s">
        <v>943</v>
      </c>
      <c r="E1850" s="1075">
        <f t="shared" ref="E1850:F1850" si="387">E1851</f>
        <v>664000</v>
      </c>
      <c r="F1850" s="1075">
        <f t="shared" si="387"/>
        <v>642800</v>
      </c>
      <c r="G1850" s="1076">
        <f t="shared" si="386"/>
        <v>0.96807228915662646</v>
      </c>
    </row>
    <row r="1851" spans="1:7" ht="17.100000000000001" customHeight="1">
      <c r="A1851" s="848"/>
      <c r="B1851" s="2806"/>
      <c r="C1851" s="2802" t="s">
        <v>521</v>
      </c>
      <c r="D1851" s="2802"/>
      <c r="E1851" s="854">
        <f>E1852+E1856</f>
        <v>664000</v>
      </c>
      <c r="F1851" s="854">
        <f t="shared" ref="F1851" si="388">F1852+F1856</f>
        <v>642800</v>
      </c>
      <c r="G1851" s="855">
        <f t="shared" si="386"/>
        <v>0.96807228915662646</v>
      </c>
    </row>
    <row r="1852" spans="1:7" ht="17.100000000000001" customHeight="1">
      <c r="A1852" s="848"/>
      <c r="B1852" s="2806"/>
      <c r="C1852" s="2814" t="s">
        <v>618</v>
      </c>
      <c r="D1852" s="2814"/>
      <c r="E1852" s="2025">
        <f>SUM(E1853:E1854)</f>
        <v>510000</v>
      </c>
      <c r="F1852" s="2025">
        <f>SUM(F1853:F1854)</f>
        <v>500000</v>
      </c>
      <c r="G1852" s="2060">
        <f t="shared" si="386"/>
        <v>0.98039215686274506</v>
      </c>
    </row>
    <row r="1853" spans="1:7" ht="49.5" customHeight="1">
      <c r="A1853" s="848"/>
      <c r="B1853" s="2806"/>
      <c r="C1853" s="2061" t="s">
        <v>633</v>
      </c>
      <c r="D1853" s="2062" t="s">
        <v>634</v>
      </c>
      <c r="E1853" s="2025">
        <v>500000</v>
      </c>
      <c r="F1853" s="2025">
        <v>500000</v>
      </c>
      <c r="G1853" s="2060">
        <f t="shared" si="386"/>
        <v>1</v>
      </c>
    </row>
    <row r="1854" spans="1:7" ht="38.25" hidden="1">
      <c r="A1854" s="848"/>
      <c r="B1854" s="2806"/>
      <c r="C1854" s="2066" t="s">
        <v>298</v>
      </c>
      <c r="D1854" s="1378" t="s">
        <v>708</v>
      </c>
      <c r="E1854" s="1190">
        <v>10000</v>
      </c>
      <c r="F1854" s="1190">
        <v>0</v>
      </c>
      <c r="G1854" s="2060">
        <f t="shared" si="386"/>
        <v>0</v>
      </c>
    </row>
    <row r="1855" spans="1:7" ht="17.100000000000001" customHeight="1">
      <c r="A1855" s="848"/>
      <c r="B1855" s="2806"/>
      <c r="C1855" s="999"/>
      <c r="D1855" s="999"/>
      <c r="E1855" s="882"/>
      <c r="F1855" s="882"/>
      <c r="G1855" s="883"/>
    </row>
    <row r="1856" spans="1:7" ht="17.100000000000001" customHeight="1">
      <c r="A1856" s="848"/>
      <c r="B1856" s="2806"/>
      <c r="C1856" s="2817" t="s">
        <v>571</v>
      </c>
      <c r="D1856" s="2817"/>
      <c r="E1856" s="2025">
        <f t="shared" ref="E1856:F1856" si="389">SUM(E1857:E1858)</f>
        <v>154000</v>
      </c>
      <c r="F1856" s="2025">
        <f t="shared" si="389"/>
        <v>142800</v>
      </c>
      <c r="G1856" s="2060">
        <f t="shared" si="386"/>
        <v>0.92727272727272725</v>
      </c>
    </row>
    <row r="1857" spans="1:7" ht="17.100000000000001" customHeight="1">
      <c r="A1857" s="848"/>
      <c r="B1857" s="2806"/>
      <c r="C1857" s="2061" t="s">
        <v>851</v>
      </c>
      <c r="D1857" s="2062" t="s">
        <v>852</v>
      </c>
      <c r="E1857" s="2025">
        <v>127000</v>
      </c>
      <c r="F1857" s="2025">
        <v>120000</v>
      </c>
      <c r="G1857" s="2060">
        <f t="shared" si="386"/>
        <v>0.94488188976377951</v>
      </c>
    </row>
    <row r="1858" spans="1:7" ht="17.100000000000001" customHeight="1" thickBot="1">
      <c r="A1858" s="848"/>
      <c r="B1858" s="2806"/>
      <c r="C1858" s="2067" t="s">
        <v>858</v>
      </c>
      <c r="D1858" s="2068" t="s">
        <v>859</v>
      </c>
      <c r="E1858" s="2069">
        <v>27000</v>
      </c>
      <c r="F1858" s="2069">
        <v>22800</v>
      </c>
      <c r="G1858" s="2070">
        <f t="shared" si="386"/>
        <v>0.84444444444444444</v>
      </c>
    </row>
    <row r="1859" spans="1:7" ht="17.100000000000001" customHeight="1" thickBot="1">
      <c r="A1859" s="848"/>
      <c r="B1859" s="1072" t="s">
        <v>944</v>
      </c>
      <c r="C1859" s="1073"/>
      <c r="D1859" s="1074" t="s">
        <v>945</v>
      </c>
      <c r="E1859" s="1075">
        <f t="shared" ref="E1859:F1859" si="390">E1860+E1865</f>
        <v>6958000</v>
      </c>
      <c r="F1859" s="1075">
        <f t="shared" si="390"/>
        <v>10811055</v>
      </c>
      <c r="G1859" s="1076">
        <f t="shared" si="386"/>
        <v>1.5537589824662259</v>
      </c>
    </row>
    <row r="1860" spans="1:7" ht="17.100000000000001" customHeight="1">
      <c r="A1860" s="848"/>
      <c r="B1860" s="2806"/>
      <c r="C1860" s="2802" t="s">
        <v>521</v>
      </c>
      <c r="D1860" s="2802"/>
      <c r="E1860" s="854">
        <f t="shared" ref="E1860:F1860" si="391">E1861</f>
        <v>6522000</v>
      </c>
      <c r="F1860" s="854">
        <f t="shared" si="391"/>
        <v>7311055</v>
      </c>
      <c r="G1860" s="855">
        <f t="shared" si="386"/>
        <v>1.1209835939895738</v>
      </c>
    </row>
    <row r="1861" spans="1:7" ht="17.100000000000001" customHeight="1">
      <c r="A1861" s="848"/>
      <c r="B1861" s="2806"/>
      <c r="C1861" s="2814" t="s">
        <v>618</v>
      </c>
      <c r="D1861" s="2814"/>
      <c r="E1861" s="2025">
        <f>E1862+E1863</f>
        <v>6522000</v>
      </c>
      <c r="F1861" s="2025">
        <f t="shared" ref="F1861" si="392">F1862+F1863</f>
        <v>7311055</v>
      </c>
      <c r="G1861" s="2060">
        <f t="shared" si="386"/>
        <v>1.1209835939895738</v>
      </c>
    </row>
    <row r="1862" spans="1:7" ht="17.100000000000001" customHeight="1">
      <c r="A1862" s="848"/>
      <c r="B1862" s="2806"/>
      <c r="C1862" s="2061" t="s">
        <v>946</v>
      </c>
      <c r="D1862" s="2062" t="s">
        <v>947</v>
      </c>
      <c r="E1862" s="2025">
        <v>5372000</v>
      </c>
      <c r="F1862" s="2025">
        <v>6511055</v>
      </c>
      <c r="G1862" s="2060">
        <f t="shared" si="386"/>
        <v>1.2120355547282204</v>
      </c>
    </row>
    <row r="1863" spans="1:7" ht="27.75" customHeight="1">
      <c r="A1863" s="848"/>
      <c r="B1863" s="2806"/>
      <c r="C1863" s="2061" t="s">
        <v>948</v>
      </c>
      <c r="D1863" s="2062" t="s">
        <v>949</v>
      </c>
      <c r="E1863" s="2025">
        <v>1150000</v>
      </c>
      <c r="F1863" s="2025">
        <v>800000</v>
      </c>
      <c r="G1863" s="2060">
        <f t="shared" si="386"/>
        <v>0.69565217391304346</v>
      </c>
    </row>
    <row r="1864" spans="1:7">
      <c r="A1864" s="848"/>
      <c r="B1864" s="974"/>
      <c r="C1864" s="2061"/>
      <c r="D1864" s="2062"/>
      <c r="E1864" s="2025"/>
      <c r="F1864" s="2025"/>
      <c r="G1864" s="2060"/>
    </row>
    <row r="1865" spans="1:7" ht="15">
      <c r="A1865" s="848"/>
      <c r="B1865" s="974"/>
      <c r="C1865" s="2815" t="s">
        <v>574</v>
      </c>
      <c r="D1865" s="2816"/>
      <c r="E1865" s="2025">
        <f t="shared" ref="E1865:F1866" si="393">E1866</f>
        <v>436000</v>
      </c>
      <c r="F1865" s="2025">
        <f t="shared" si="393"/>
        <v>3500000</v>
      </c>
      <c r="G1865" s="2060">
        <f t="shared" si="386"/>
        <v>8.0275229357798157</v>
      </c>
    </row>
    <row r="1866" spans="1:7" ht="15">
      <c r="A1866" s="848"/>
      <c r="B1866" s="974"/>
      <c r="C1866" s="2817" t="s">
        <v>575</v>
      </c>
      <c r="D1866" s="2818"/>
      <c r="E1866" s="2025">
        <f t="shared" si="393"/>
        <v>436000</v>
      </c>
      <c r="F1866" s="2025">
        <f t="shared" si="393"/>
        <v>3500000</v>
      </c>
      <c r="G1866" s="2060">
        <f t="shared" si="386"/>
        <v>8.0275229357798157</v>
      </c>
    </row>
    <row r="1867" spans="1:7" ht="42" customHeight="1" thickBot="1">
      <c r="A1867" s="848"/>
      <c r="B1867" s="974"/>
      <c r="C1867" s="2071" t="s">
        <v>865</v>
      </c>
      <c r="D1867" s="2072" t="s">
        <v>866</v>
      </c>
      <c r="E1867" s="2069">
        <v>436000</v>
      </c>
      <c r="F1867" s="2069">
        <v>3500000</v>
      </c>
      <c r="G1867" s="2070">
        <f t="shared" si="386"/>
        <v>8.0275229357798157</v>
      </c>
    </row>
    <row r="1868" spans="1:7" ht="17.100000000000001" customHeight="1" thickBot="1">
      <c r="A1868" s="848"/>
      <c r="B1868" s="1072" t="s">
        <v>950</v>
      </c>
      <c r="C1868" s="1073"/>
      <c r="D1868" s="1074" t="s">
        <v>498</v>
      </c>
      <c r="E1868" s="1075">
        <f>E1869</f>
        <v>7418800</v>
      </c>
      <c r="F1868" s="1075">
        <f t="shared" ref="F1868" si="394">F1869</f>
        <v>6919000</v>
      </c>
      <c r="G1868" s="1076">
        <f t="shared" si="386"/>
        <v>0.93263061411549042</v>
      </c>
    </row>
    <row r="1869" spans="1:7" ht="17.100000000000001" customHeight="1">
      <c r="A1869" s="848"/>
      <c r="B1869" s="2806"/>
      <c r="C1869" s="2802" t="s">
        <v>521</v>
      </c>
      <c r="D1869" s="2802"/>
      <c r="E1869" s="854">
        <f t="shared" ref="E1869:F1869" si="395">E1870</f>
        <v>7418800</v>
      </c>
      <c r="F1869" s="854">
        <f t="shared" si="395"/>
        <v>6919000</v>
      </c>
      <c r="G1869" s="855">
        <f t="shared" si="386"/>
        <v>0.93263061411549042</v>
      </c>
    </row>
    <row r="1870" spans="1:7" ht="17.100000000000001" customHeight="1">
      <c r="A1870" s="848"/>
      <c r="B1870" s="2806"/>
      <c r="C1870" s="2814" t="s">
        <v>618</v>
      </c>
      <c r="D1870" s="2814"/>
      <c r="E1870" s="2025">
        <f t="shared" ref="E1870:F1870" si="396">SUM(E1871:E1872)</f>
        <v>7418800</v>
      </c>
      <c r="F1870" s="2025">
        <f t="shared" si="396"/>
        <v>6919000</v>
      </c>
      <c r="G1870" s="2060">
        <f t="shared" si="386"/>
        <v>0.93263061411549042</v>
      </c>
    </row>
    <row r="1871" spans="1:7" ht="17.100000000000001" customHeight="1">
      <c r="A1871" s="848"/>
      <c r="B1871" s="2806"/>
      <c r="C1871" s="2061" t="s">
        <v>946</v>
      </c>
      <c r="D1871" s="2062" t="s">
        <v>947</v>
      </c>
      <c r="E1871" s="2025">
        <v>6678800</v>
      </c>
      <c r="F1871" s="2025">
        <v>6369000</v>
      </c>
      <c r="G1871" s="2060">
        <f t="shared" si="386"/>
        <v>0.95361442175241062</v>
      </c>
    </row>
    <row r="1872" spans="1:7" ht="28.5" customHeight="1" thickBot="1">
      <c r="A1872" s="848"/>
      <c r="B1872" s="860"/>
      <c r="C1872" s="2061" t="s">
        <v>948</v>
      </c>
      <c r="D1872" s="2062" t="s">
        <v>949</v>
      </c>
      <c r="E1872" s="2025">
        <v>740000</v>
      </c>
      <c r="F1872" s="2025">
        <v>550000</v>
      </c>
      <c r="G1872" s="2060">
        <f t="shared" si="386"/>
        <v>0.7432432432432432</v>
      </c>
    </row>
    <row r="1873" spans="1:7" ht="17.100000000000001" customHeight="1" thickBot="1">
      <c r="A1873" s="848"/>
      <c r="B1873" s="1072" t="s">
        <v>951</v>
      </c>
      <c r="C1873" s="1073"/>
      <c r="D1873" s="1074" t="s">
        <v>499</v>
      </c>
      <c r="E1873" s="1075">
        <f>E1874+E1880</f>
        <v>9287344</v>
      </c>
      <c r="F1873" s="1075">
        <f t="shared" ref="F1873" si="397">F1874+F1880</f>
        <v>10387763</v>
      </c>
      <c r="G1873" s="1076">
        <f t="shared" si="386"/>
        <v>1.1184858663574861</v>
      </c>
    </row>
    <row r="1874" spans="1:7" ht="17.100000000000001" customHeight="1">
      <c r="A1874" s="848"/>
      <c r="B1874" s="2806"/>
      <c r="C1874" s="2802" t="s">
        <v>521</v>
      </c>
      <c r="D1874" s="2802"/>
      <c r="E1874" s="854">
        <f t="shared" ref="E1874:F1874" si="398">E1875</f>
        <v>7373558</v>
      </c>
      <c r="F1874" s="854">
        <f t="shared" si="398"/>
        <v>7649468</v>
      </c>
      <c r="G1874" s="855">
        <f t="shared" si="386"/>
        <v>1.0374188417586192</v>
      </c>
    </row>
    <row r="1875" spans="1:7" ht="17.100000000000001" customHeight="1">
      <c r="A1875" s="848"/>
      <c r="B1875" s="2806"/>
      <c r="C1875" s="2814" t="s">
        <v>618</v>
      </c>
      <c r="D1875" s="2814"/>
      <c r="E1875" s="2025">
        <f>SUM(E1876:E1878)</f>
        <v>7373558</v>
      </c>
      <c r="F1875" s="2025">
        <f t="shared" ref="F1875" si="399">SUM(F1876:F1878)</f>
        <v>7649468</v>
      </c>
      <c r="G1875" s="2060">
        <f t="shared" si="386"/>
        <v>1.0374188417586192</v>
      </c>
    </row>
    <row r="1876" spans="1:7" ht="17.100000000000001" customHeight="1">
      <c r="A1876" s="848"/>
      <c r="B1876" s="2806"/>
      <c r="C1876" s="2061" t="s">
        <v>946</v>
      </c>
      <c r="D1876" s="2062" t="s">
        <v>947</v>
      </c>
      <c r="E1876" s="2025">
        <v>6769500</v>
      </c>
      <c r="F1876" s="2025">
        <v>6564468</v>
      </c>
      <c r="G1876" s="2060">
        <f t="shared" si="386"/>
        <v>0.96971238643917568</v>
      </c>
    </row>
    <row r="1877" spans="1:7" ht="30.75" hidden="1" customHeight="1">
      <c r="A1877" s="848"/>
      <c r="B1877" s="2806"/>
      <c r="C1877" s="2061" t="s">
        <v>298</v>
      </c>
      <c r="D1877" s="2062" t="s">
        <v>708</v>
      </c>
      <c r="E1877" s="2025">
        <v>58800</v>
      </c>
      <c r="F1877" s="2025">
        <v>0</v>
      </c>
      <c r="G1877" s="2060">
        <f t="shared" si="386"/>
        <v>0</v>
      </c>
    </row>
    <row r="1878" spans="1:7" ht="24.75" customHeight="1">
      <c r="A1878" s="848"/>
      <c r="B1878" s="2806"/>
      <c r="C1878" s="2061" t="s">
        <v>948</v>
      </c>
      <c r="D1878" s="2062" t="s">
        <v>949</v>
      </c>
      <c r="E1878" s="2025">
        <v>545258</v>
      </c>
      <c r="F1878" s="2025">
        <v>1085000</v>
      </c>
      <c r="G1878" s="2060">
        <f t="shared" si="386"/>
        <v>1.9898836880889414</v>
      </c>
    </row>
    <row r="1879" spans="1:7" ht="15">
      <c r="A1879" s="848"/>
      <c r="B1879" s="2806"/>
      <c r="C1879" s="999"/>
      <c r="D1879" s="1048"/>
      <c r="E1879" s="1049"/>
      <c r="F1879" s="1049"/>
      <c r="G1879" s="1050"/>
    </row>
    <row r="1880" spans="1:7" ht="15">
      <c r="A1880" s="848"/>
      <c r="B1880" s="2806"/>
      <c r="C1880" s="2815" t="s">
        <v>574</v>
      </c>
      <c r="D1880" s="2816"/>
      <c r="E1880" s="2058">
        <f>SUM(E1881)</f>
        <v>1913786</v>
      </c>
      <c r="F1880" s="2058">
        <f t="shared" ref="F1880" si="400">SUM(F1881)</f>
        <v>2738295</v>
      </c>
      <c r="G1880" s="2059">
        <f t="shared" si="386"/>
        <v>1.4308261216248839</v>
      </c>
    </row>
    <row r="1881" spans="1:7" ht="15">
      <c r="A1881" s="848"/>
      <c r="B1881" s="2806"/>
      <c r="C1881" s="2817" t="s">
        <v>575</v>
      </c>
      <c r="D1881" s="2818"/>
      <c r="E1881" s="2025">
        <f>SUM(E1882:E1885)</f>
        <v>1913786</v>
      </c>
      <c r="F1881" s="2025">
        <f t="shared" ref="F1881" si="401">SUM(F1882:F1885)</f>
        <v>2738295</v>
      </c>
      <c r="G1881" s="2060">
        <f t="shared" si="386"/>
        <v>1.4308261216248839</v>
      </c>
    </row>
    <row r="1882" spans="1:7" ht="38.25">
      <c r="A1882" s="848"/>
      <c r="B1882" s="2806"/>
      <c r="C1882" s="2073" t="s">
        <v>865</v>
      </c>
      <c r="D1882" s="2074" t="s">
        <v>866</v>
      </c>
      <c r="E1882" s="2025">
        <v>1842057</v>
      </c>
      <c r="F1882" s="2025">
        <v>1081239</v>
      </c>
      <c r="G1882" s="2060">
        <f t="shared" si="386"/>
        <v>0.58697369299647084</v>
      </c>
    </row>
    <row r="1883" spans="1:7" ht="40.5" hidden="1" customHeight="1">
      <c r="A1883" s="848"/>
      <c r="B1883" s="974"/>
      <c r="C1883" s="1366" t="s">
        <v>695</v>
      </c>
      <c r="D1883" s="2075" t="s">
        <v>696</v>
      </c>
      <c r="E1883" s="962">
        <v>47000</v>
      </c>
      <c r="F1883" s="962">
        <v>0</v>
      </c>
      <c r="G1883" s="963">
        <f t="shared" si="386"/>
        <v>0</v>
      </c>
    </row>
    <row r="1884" spans="1:7" ht="38.25" customHeight="1">
      <c r="A1884" s="848"/>
      <c r="B1884" s="974"/>
      <c r="C1884" s="2076" t="s">
        <v>952</v>
      </c>
      <c r="D1884" s="2077" t="s">
        <v>866</v>
      </c>
      <c r="E1884" s="2025">
        <v>16500</v>
      </c>
      <c r="F1884" s="2025">
        <v>1657056</v>
      </c>
      <c r="G1884" s="2078">
        <f t="shared" si="386"/>
        <v>100.42763636363637</v>
      </c>
    </row>
    <row r="1885" spans="1:7" ht="27" hidden="1" customHeight="1">
      <c r="A1885" s="848"/>
      <c r="B1885" s="974"/>
      <c r="C1885" s="2079" t="s">
        <v>501</v>
      </c>
      <c r="D1885" s="2080" t="s">
        <v>953</v>
      </c>
      <c r="E1885" s="2081">
        <v>8229</v>
      </c>
      <c r="F1885" s="2081">
        <v>0</v>
      </c>
      <c r="G1885" s="2082">
        <f t="shared" si="386"/>
        <v>0</v>
      </c>
    </row>
    <row r="1886" spans="1:7">
      <c r="A1886" s="848"/>
      <c r="B1886" s="974"/>
      <c r="C1886" s="2079"/>
      <c r="D1886" s="2083"/>
      <c r="E1886" s="2081"/>
      <c r="F1886" s="2081"/>
      <c r="G1886" s="2082"/>
    </row>
    <row r="1887" spans="1:7" ht="15.75" customHeight="1">
      <c r="A1887" s="848"/>
      <c r="B1887" s="974"/>
      <c r="C1887" s="2819" t="s">
        <v>585</v>
      </c>
      <c r="D1887" s="2820"/>
      <c r="E1887" s="2025">
        <f>E1889+E1888</f>
        <v>253208</v>
      </c>
      <c r="F1887" s="2025">
        <f t="shared" ref="F1887" si="402">F1889+F1888</f>
        <v>1903295</v>
      </c>
      <c r="G1887" s="2078">
        <f t="shared" si="386"/>
        <v>7.5167253799248046</v>
      </c>
    </row>
    <row r="1888" spans="1:7" ht="39" customHeight="1">
      <c r="A1888" s="848"/>
      <c r="B1888" s="974"/>
      <c r="C1888" s="2008" t="s">
        <v>865</v>
      </c>
      <c r="D1888" s="1593" t="s">
        <v>866</v>
      </c>
      <c r="E1888" s="2081">
        <v>236708</v>
      </c>
      <c r="F1888" s="2084">
        <v>246239</v>
      </c>
      <c r="G1888" s="2085">
        <f t="shared" si="386"/>
        <v>1.0402647988238674</v>
      </c>
    </row>
    <row r="1889" spans="1:7" ht="39" thickBot="1">
      <c r="A1889" s="848"/>
      <c r="B1889" s="974"/>
      <c r="C1889" s="2086" t="s">
        <v>952</v>
      </c>
      <c r="D1889" s="2087" t="s">
        <v>866</v>
      </c>
      <c r="E1889" s="970">
        <v>16500</v>
      </c>
      <c r="F1889" s="970">
        <v>1657056</v>
      </c>
      <c r="G1889" s="2063">
        <f t="shared" si="386"/>
        <v>100.42763636363637</v>
      </c>
    </row>
    <row r="1890" spans="1:7" ht="17.100000000000001" customHeight="1" thickBot="1">
      <c r="A1890" s="848"/>
      <c r="B1890" s="1072" t="s">
        <v>954</v>
      </c>
      <c r="C1890" s="1073"/>
      <c r="D1890" s="1074" t="s">
        <v>955</v>
      </c>
      <c r="E1890" s="1075">
        <f t="shared" ref="E1890:F1891" si="403">E1891</f>
        <v>626500</v>
      </c>
      <c r="F1890" s="1075">
        <f t="shared" si="403"/>
        <v>585840</v>
      </c>
      <c r="G1890" s="1076">
        <f t="shared" si="386"/>
        <v>0.93509976057462096</v>
      </c>
    </row>
    <row r="1891" spans="1:7" ht="17.100000000000001" customHeight="1">
      <c r="A1891" s="848"/>
      <c r="B1891" s="2806"/>
      <c r="C1891" s="2802" t="s">
        <v>521</v>
      </c>
      <c r="D1891" s="2802"/>
      <c r="E1891" s="854">
        <f t="shared" si="403"/>
        <v>626500</v>
      </c>
      <c r="F1891" s="854">
        <f t="shared" si="403"/>
        <v>585840</v>
      </c>
      <c r="G1891" s="855">
        <f t="shared" si="386"/>
        <v>0.93509976057462096</v>
      </c>
    </row>
    <row r="1892" spans="1:7" ht="17.100000000000001" customHeight="1">
      <c r="A1892" s="848"/>
      <c r="B1892" s="2806"/>
      <c r="C1892" s="2794" t="s">
        <v>618</v>
      </c>
      <c r="D1892" s="2794"/>
      <c r="E1892" s="2088">
        <f t="shared" ref="E1892:F1892" si="404">E1894+E1895</f>
        <v>626500</v>
      </c>
      <c r="F1892" s="2088">
        <f t="shared" si="404"/>
        <v>585840</v>
      </c>
      <c r="G1892" s="2089">
        <f t="shared" si="386"/>
        <v>0.93509976057462096</v>
      </c>
    </row>
    <row r="1893" spans="1:7" ht="27" hidden="1" customHeight="1">
      <c r="A1893" s="848"/>
      <c r="B1893" s="2806"/>
      <c r="C1893" s="2090" t="s">
        <v>298</v>
      </c>
      <c r="D1893" s="2091" t="s">
        <v>708</v>
      </c>
      <c r="E1893" s="2088">
        <v>10000</v>
      </c>
      <c r="F1893" s="2088">
        <v>0</v>
      </c>
      <c r="G1893" s="2089">
        <f t="shared" si="386"/>
        <v>0</v>
      </c>
    </row>
    <row r="1894" spans="1:7" ht="17.100000000000001" customHeight="1" thickBot="1">
      <c r="A1894" s="848"/>
      <c r="B1894" s="2806"/>
      <c r="C1894" s="2092" t="s">
        <v>946</v>
      </c>
      <c r="D1894" s="2093" t="s">
        <v>947</v>
      </c>
      <c r="E1894" s="2088">
        <v>558500</v>
      </c>
      <c r="F1894" s="2088">
        <v>585840</v>
      </c>
      <c r="G1894" s="2089">
        <f t="shared" si="386"/>
        <v>1.0489525514771709</v>
      </c>
    </row>
    <row r="1895" spans="1:7" ht="27" hidden="1" customHeight="1" thickBot="1">
      <c r="A1895" s="848"/>
      <c r="B1895" s="2806"/>
      <c r="C1895" s="2094" t="s">
        <v>948</v>
      </c>
      <c r="D1895" s="2095" t="s">
        <v>949</v>
      </c>
      <c r="E1895" s="2096">
        <v>68000</v>
      </c>
      <c r="F1895" s="2096">
        <v>0</v>
      </c>
      <c r="G1895" s="2082">
        <f t="shared" si="386"/>
        <v>0</v>
      </c>
    </row>
    <row r="1896" spans="1:7" ht="17.100000000000001" customHeight="1" thickBot="1">
      <c r="A1896" s="848"/>
      <c r="B1896" s="1072" t="s">
        <v>956</v>
      </c>
      <c r="C1896" s="1073"/>
      <c r="D1896" s="1074" t="s">
        <v>957</v>
      </c>
      <c r="E1896" s="1075">
        <f t="shared" ref="E1896:F1896" si="405">E1897+E1902</f>
        <v>2423133</v>
      </c>
      <c r="F1896" s="1075">
        <f t="shared" si="405"/>
        <v>3118059</v>
      </c>
      <c r="G1896" s="1076">
        <f t="shared" si="386"/>
        <v>1.2867882200440504</v>
      </c>
    </row>
    <row r="1897" spans="1:7" ht="17.100000000000001" customHeight="1">
      <c r="A1897" s="848"/>
      <c r="B1897" s="2811"/>
      <c r="C1897" s="2813" t="s">
        <v>521</v>
      </c>
      <c r="D1897" s="2813"/>
      <c r="E1897" s="1802">
        <f t="shared" ref="E1897:F1897" si="406">E1898</f>
        <v>1776033</v>
      </c>
      <c r="F1897" s="1802">
        <f t="shared" si="406"/>
        <v>1857900</v>
      </c>
      <c r="G1897" s="1549">
        <f t="shared" si="386"/>
        <v>1.046095427280912</v>
      </c>
    </row>
    <row r="1898" spans="1:7" ht="17.100000000000001" customHeight="1">
      <c r="A1898" s="848"/>
      <c r="B1898" s="2806"/>
      <c r="C1898" s="2794" t="s">
        <v>618</v>
      </c>
      <c r="D1898" s="2794"/>
      <c r="E1898" s="2088">
        <f t="shared" ref="E1898:F1898" si="407">SUM(E1899:E1900)</f>
        <v>1776033</v>
      </c>
      <c r="F1898" s="2088">
        <f t="shared" si="407"/>
        <v>1857900</v>
      </c>
      <c r="G1898" s="2089">
        <f t="shared" si="386"/>
        <v>1.046095427280912</v>
      </c>
    </row>
    <row r="1899" spans="1:7" ht="17.100000000000001" customHeight="1">
      <c r="A1899" s="848"/>
      <c r="B1899" s="2806"/>
      <c r="C1899" s="2092" t="s">
        <v>946</v>
      </c>
      <c r="D1899" s="2093" t="s">
        <v>947</v>
      </c>
      <c r="E1899" s="2088">
        <v>1671000</v>
      </c>
      <c r="F1899" s="2088">
        <v>1830900</v>
      </c>
      <c r="G1899" s="2089">
        <f t="shared" si="386"/>
        <v>1.0956912028725314</v>
      </c>
    </row>
    <row r="1900" spans="1:7" ht="25.5">
      <c r="A1900" s="848"/>
      <c r="B1900" s="2806"/>
      <c r="C1900" s="2094" t="s">
        <v>948</v>
      </c>
      <c r="D1900" s="2095" t="s">
        <v>949</v>
      </c>
      <c r="E1900" s="2096">
        <v>105033</v>
      </c>
      <c r="F1900" s="2096">
        <v>27000</v>
      </c>
      <c r="G1900" s="2082">
        <f t="shared" si="386"/>
        <v>0.25706206620776328</v>
      </c>
    </row>
    <row r="1901" spans="1:7">
      <c r="A1901" s="848"/>
      <c r="B1901" s="2806"/>
      <c r="C1901" s="2097"/>
      <c r="D1901" s="2098"/>
      <c r="E1901" s="2099"/>
      <c r="F1901" s="2099"/>
      <c r="G1901" s="2100"/>
    </row>
    <row r="1902" spans="1:7" ht="16.5" customHeight="1">
      <c r="A1902" s="848"/>
      <c r="B1902" s="2806"/>
      <c r="C1902" s="2804" t="s">
        <v>574</v>
      </c>
      <c r="D1902" s="2804"/>
      <c r="E1902" s="854">
        <f t="shared" ref="E1902:F1903" si="408">E1903</f>
        <v>647100</v>
      </c>
      <c r="F1902" s="854">
        <f t="shared" si="408"/>
        <v>1260159</v>
      </c>
      <c r="G1902" s="855">
        <f t="shared" si="386"/>
        <v>1.9473945294390358</v>
      </c>
    </row>
    <row r="1903" spans="1:7" ht="15.75" customHeight="1">
      <c r="A1903" s="848"/>
      <c r="B1903" s="2806"/>
      <c r="C1903" s="2797" t="s">
        <v>694</v>
      </c>
      <c r="D1903" s="2797"/>
      <c r="E1903" s="2088">
        <f t="shared" si="408"/>
        <v>647100</v>
      </c>
      <c r="F1903" s="2088">
        <f t="shared" si="408"/>
        <v>1260159</v>
      </c>
      <c r="G1903" s="2089">
        <f t="shared" si="386"/>
        <v>1.9473945294390358</v>
      </c>
    </row>
    <row r="1904" spans="1:7" ht="39" thickBot="1">
      <c r="A1904" s="848"/>
      <c r="B1904" s="2812"/>
      <c r="C1904" s="2101" t="s">
        <v>865</v>
      </c>
      <c r="D1904" s="2102" t="s">
        <v>866</v>
      </c>
      <c r="E1904" s="970">
        <v>647100</v>
      </c>
      <c r="F1904" s="970">
        <v>1260159</v>
      </c>
      <c r="G1904" s="2103">
        <f t="shared" si="386"/>
        <v>1.9473945294390358</v>
      </c>
    </row>
    <row r="1905" spans="1:7" ht="17.100000000000001" customHeight="1" thickBot="1">
      <c r="A1905" s="848"/>
      <c r="B1905" s="1072" t="s">
        <v>958</v>
      </c>
      <c r="C1905" s="1073"/>
      <c r="D1905" s="1074" t="s">
        <v>959</v>
      </c>
      <c r="E1905" s="1075">
        <f>SUM(E1906+E1911)</f>
        <v>9019503</v>
      </c>
      <c r="F1905" s="1075">
        <f t="shared" ref="F1905" si="409">SUM(F1906+F1911)</f>
        <v>8409525</v>
      </c>
      <c r="G1905" s="1076">
        <f t="shared" si="386"/>
        <v>0.93237121823674762</v>
      </c>
    </row>
    <row r="1906" spans="1:7" ht="17.100000000000001" customHeight="1">
      <c r="A1906" s="848"/>
      <c r="B1906" s="2806"/>
      <c r="C1906" s="2802" t="s">
        <v>521</v>
      </c>
      <c r="D1906" s="2802"/>
      <c r="E1906" s="854">
        <f t="shared" ref="E1906:F1906" si="410">E1907</f>
        <v>8811213</v>
      </c>
      <c r="F1906" s="854">
        <f t="shared" si="410"/>
        <v>8243555</v>
      </c>
      <c r="G1906" s="855">
        <f t="shared" si="386"/>
        <v>0.93557549908281645</v>
      </c>
    </row>
    <row r="1907" spans="1:7" ht="17.100000000000001" customHeight="1">
      <c r="A1907" s="848"/>
      <c r="B1907" s="2806"/>
      <c r="C1907" s="2794" t="s">
        <v>618</v>
      </c>
      <c r="D1907" s="2794"/>
      <c r="E1907" s="2088">
        <f t="shared" ref="E1907:F1907" si="411">SUM(E1908:E1909)</f>
        <v>8811213</v>
      </c>
      <c r="F1907" s="2088">
        <f t="shared" si="411"/>
        <v>8243555</v>
      </c>
      <c r="G1907" s="2089">
        <f t="shared" si="386"/>
        <v>0.93557549908281645</v>
      </c>
    </row>
    <row r="1908" spans="1:7" ht="17.100000000000001" customHeight="1">
      <c r="A1908" s="848"/>
      <c r="B1908" s="2806"/>
      <c r="C1908" s="2092" t="s">
        <v>946</v>
      </c>
      <c r="D1908" s="2093" t="s">
        <v>947</v>
      </c>
      <c r="E1908" s="2088">
        <v>8517000</v>
      </c>
      <c r="F1908" s="2088">
        <v>8140555</v>
      </c>
      <c r="G1908" s="2089">
        <f t="shared" si="386"/>
        <v>0.9558007514382999</v>
      </c>
    </row>
    <row r="1909" spans="1:7" ht="25.5">
      <c r="A1909" s="848"/>
      <c r="B1909" s="2806"/>
      <c r="C1909" s="2094" t="s">
        <v>948</v>
      </c>
      <c r="D1909" s="2095" t="s">
        <v>949</v>
      </c>
      <c r="E1909" s="2096">
        <v>294213</v>
      </c>
      <c r="F1909" s="2096">
        <v>103000</v>
      </c>
      <c r="G1909" s="2082">
        <f t="shared" si="386"/>
        <v>0.35008650195606583</v>
      </c>
    </row>
    <row r="1910" spans="1:7">
      <c r="A1910" s="848"/>
      <c r="B1910" s="974"/>
      <c r="C1910" s="2809"/>
      <c r="D1910" s="2810"/>
      <c r="E1910" s="2088"/>
      <c r="F1910" s="2088"/>
      <c r="G1910" s="2089"/>
    </row>
    <row r="1911" spans="1:7">
      <c r="A1911" s="848"/>
      <c r="B1911" s="974"/>
      <c r="C1911" s="2804" t="s">
        <v>574</v>
      </c>
      <c r="D1911" s="2804"/>
      <c r="E1911" s="854">
        <f>E1912</f>
        <v>208290</v>
      </c>
      <c r="F1911" s="854">
        <f t="shared" ref="F1911" si="412">F1912</f>
        <v>165970</v>
      </c>
      <c r="G1911" s="855">
        <f t="shared" si="386"/>
        <v>0.79682173892169572</v>
      </c>
    </row>
    <row r="1912" spans="1:7">
      <c r="A1912" s="848"/>
      <c r="B1912" s="974"/>
      <c r="C1912" s="2797" t="s">
        <v>694</v>
      </c>
      <c r="D1912" s="2797"/>
      <c r="E1912" s="2088">
        <f t="shared" ref="E1912:F1912" si="413">E1913</f>
        <v>208290</v>
      </c>
      <c r="F1912" s="2088">
        <f t="shared" si="413"/>
        <v>165970</v>
      </c>
      <c r="G1912" s="2089">
        <f t="shared" si="386"/>
        <v>0.79682173892169572</v>
      </c>
    </row>
    <row r="1913" spans="1:7" ht="39" thickBot="1">
      <c r="A1913" s="848"/>
      <c r="B1913" s="974"/>
      <c r="C1913" s="2094" t="s">
        <v>865</v>
      </c>
      <c r="D1913" s="2095" t="s">
        <v>866</v>
      </c>
      <c r="E1913" s="2096">
        <v>208290</v>
      </c>
      <c r="F1913" s="2096">
        <v>165970</v>
      </c>
      <c r="G1913" s="2082">
        <f t="shared" si="386"/>
        <v>0.79682173892169572</v>
      </c>
    </row>
    <row r="1914" spans="1:7" ht="17.100000000000001" customHeight="1" thickBot="1">
      <c r="A1914" s="848"/>
      <c r="B1914" s="1072" t="s">
        <v>960</v>
      </c>
      <c r="C1914" s="1073"/>
      <c r="D1914" s="1074" t="s">
        <v>505</v>
      </c>
      <c r="E1914" s="1075">
        <f t="shared" ref="E1914:F1914" si="414">E1915+E1921</f>
        <v>33175779</v>
      </c>
      <c r="F1914" s="1075">
        <f t="shared" si="414"/>
        <v>31961156</v>
      </c>
      <c r="G1914" s="1076">
        <f t="shared" si="386"/>
        <v>0.9633882598506579</v>
      </c>
    </row>
    <row r="1915" spans="1:7" ht="17.100000000000001" customHeight="1">
      <c r="A1915" s="848"/>
      <c r="B1915" s="2806"/>
      <c r="C1915" s="2802" t="s">
        <v>521</v>
      </c>
      <c r="D1915" s="2802"/>
      <c r="E1915" s="854">
        <f t="shared" ref="E1915:F1915" si="415">E1916</f>
        <v>27097301</v>
      </c>
      <c r="F1915" s="854">
        <f t="shared" si="415"/>
        <v>23962998</v>
      </c>
      <c r="G1915" s="855">
        <f t="shared" ref="G1915:G1978" si="416">F1915/E1915</f>
        <v>0.8843315428352071</v>
      </c>
    </row>
    <row r="1916" spans="1:7" ht="17.100000000000001" customHeight="1">
      <c r="A1916" s="848"/>
      <c r="B1916" s="2806"/>
      <c r="C1916" s="2794" t="s">
        <v>618</v>
      </c>
      <c r="D1916" s="2794"/>
      <c r="E1916" s="2088">
        <f t="shared" ref="E1916:F1916" si="417">SUM(E1917:E1919)</f>
        <v>27097301</v>
      </c>
      <c r="F1916" s="2088">
        <f t="shared" si="417"/>
        <v>23962998</v>
      </c>
      <c r="G1916" s="2089">
        <f t="shared" si="416"/>
        <v>0.8843315428352071</v>
      </c>
    </row>
    <row r="1917" spans="1:7" ht="17.100000000000001" customHeight="1">
      <c r="A1917" s="848"/>
      <c r="B1917" s="2806"/>
      <c r="C1917" s="2092" t="s">
        <v>946</v>
      </c>
      <c r="D1917" s="2093" t="s">
        <v>947</v>
      </c>
      <c r="E1917" s="2088">
        <v>22563041</v>
      </c>
      <c r="F1917" s="2088">
        <v>23648485</v>
      </c>
      <c r="G1917" s="2089">
        <f t="shared" si="416"/>
        <v>1.0481071678236988</v>
      </c>
    </row>
    <row r="1918" spans="1:7" ht="29.25" hidden="1" customHeight="1">
      <c r="A1918" s="848"/>
      <c r="B1918" s="974"/>
      <c r="C1918" s="2092" t="s">
        <v>298</v>
      </c>
      <c r="D1918" s="2093" t="s">
        <v>708</v>
      </c>
      <c r="E1918" s="2088">
        <v>700000</v>
      </c>
      <c r="F1918" s="2088">
        <v>0</v>
      </c>
      <c r="G1918" s="2089">
        <f t="shared" si="416"/>
        <v>0</v>
      </c>
    </row>
    <row r="1919" spans="1:7" ht="24.75" customHeight="1">
      <c r="A1919" s="848"/>
      <c r="B1919" s="860"/>
      <c r="C1919" s="2092" t="s">
        <v>948</v>
      </c>
      <c r="D1919" s="2093" t="s">
        <v>949</v>
      </c>
      <c r="E1919" s="2088">
        <v>3834260</v>
      </c>
      <c r="F1919" s="2088">
        <v>314513</v>
      </c>
      <c r="G1919" s="2089">
        <f t="shared" si="416"/>
        <v>8.2027040419794167E-2</v>
      </c>
    </row>
    <row r="1920" spans="1:7" ht="17.100000000000001" customHeight="1">
      <c r="A1920" s="848"/>
      <c r="B1920" s="860"/>
      <c r="C1920" s="999"/>
      <c r="D1920" s="999"/>
      <c r="E1920" s="882"/>
      <c r="F1920" s="882"/>
      <c r="G1920" s="883"/>
    </row>
    <row r="1921" spans="1:7" ht="17.100000000000001" customHeight="1">
      <c r="A1921" s="848"/>
      <c r="B1921" s="860"/>
      <c r="C1921" s="2795" t="s">
        <v>574</v>
      </c>
      <c r="D1921" s="2795"/>
      <c r="E1921" s="2104">
        <f t="shared" ref="E1921:F1922" si="418">E1922</f>
        <v>6078478</v>
      </c>
      <c r="F1921" s="2104">
        <f t="shared" si="418"/>
        <v>7998158</v>
      </c>
      <c r="G1921" s="2105">
        <f t="shared" si="416"/>
        <v>1.3158158999670642</v>
      </c>
    </row>
    <row r="1922" spans="1:7" ht="17.100000000000001" customHeight="1">
      <c r="A1922" s="848"/>
      <c r="B1922" s="860"/>
      <c r="C1922" s="2797" t="s">
        <v>575</v>
      </c>
      <c r="D1922" s="2797"/>
      <c r="E1922" s="2088">
        <f t="shared" si="418"/>
        <v>6078478</v>
      </c>
      <c r="F1922" s="2088">
        <f t="shared" si="418"/>
        <v>7998158</v>
      </c>
      <c r="G1922" s="2089">
        <f t="shared" si="416"/>
        <v>1.3158158999670642</v>
      </c>
    </row>
    <row r="1923" spans="1:7" ht="38.25" customHeight="1" thickBot="1">
      <c r="A1923" s="848"/>
      <c r="B1923" s="860"/>
      <c r="C1923" s="2106" t="s">
        <v>865</v>
      </c>
      <c r="D1923" s="2107" t="s">
        <v>866</v>
      </c>
      <c r="E1923" s="2088">
        <v>6078478</v>
      </c>
      <c r="F1923" s="2088">
        <f>7402714+595444</f>
        <v>7998158</v>
      </c>
      <c r="G1923" s="2089">
        <f t="shared" si="416"/>
        <v>1.3158158999670642</v>
      </c>
    </row>
    <row r="1924" spans="1:7" ht="17.100000000000001" customHeight="1" thickBot="1">
      <c r="A1924" s="848"/>
      <c r="B1924" s="1072" t="s">
        <v>79</v>
      </c>
      <c r="C1924" s="2108"/>
      <c r="D1924" s="2109" t="s">
        <v>961</v>
      </c>
      <c r="E1924" s="1829">
        <f t="shared" ref="E1924:F1924" si="419">SUM(E1925)</f>
        <v>4827060</v>
      </c>
      <c r="F1924" s="1829">
        <f t="shared" si="419"/>
        <v>4000000</v>
      </c>
      <c r="G1924" s="1830">
        <f t="shared" si="416"/>
        <v>0.82866175270247311</v>
      </c>
    </row>
    <row r="1925" spans="1:7" ht="17.100000000000001" customHeight="1">
      <c r="A1925" s="848"/>
      <c r="B1925" s="2806"/>
      <c r="C1925" s="2802" t="s">
        <v>521</v>
      </c>
      <c r="D1925" s="2802"/>
      <c r="E1925" s="854">
        <f>E1926+E1930</f>
        <v>4827060</v>
      </c>
      <c r="F1925" s="854">
        <f t="shared" ref="F1925" si="420">F1926+F1930</f>
        <v>4000000</v>
      </c>
      <c r="G1925" s="855">
        <f t="shared" si="416"/>
        <v>0.82866175270247311</v>
      </c>
    </row>
    <row r="1926" spans="1:7" ht="17.100000000000001" hidden="1" customHeight="1">
      <c r="A1926" s="848"/>
      <c r="B1926" s="2806"/>
      <c r="C1926" s="2807" t="s">
        <v>522</v>
      </c>
      <c r="D1926" s="2807"/>
      <c r="E1926" s="1190">
        <f>E1927</f>
        <v>14779</v>
      </c>
      <c r="F1926" s="1190">
        <f t="shared" ref="F1926:F1927" si="421">F1927</f>
        <v>0</v>
      </c>
      <c r="G1926" s="1191">
        <f t="shared" si="416"/>
        <v>0</v>
      </c>
    </row>
    <row r="1927" spans="1:7" ht="17.100000000000001" hidden="1" customHeight="1">
      <c r="A1927" s="848"/>
      <c r="B1927" s="2806"/>
      <c r="C1927" s="2808" t="s">
        <v>534</v>
      </c>
      <c r="D1927" s="2808"/>
      <c r="E1927" s="1190">
        <f>E1928</f>
        <v>14779</v>
      </c>
      <c r="F1927" s="1190">
        <f t="shared" si="421"/>
        <v>0</v>
      </c>
      <c r="G1927" s="1191">
        <f t="shared" si="416"/>
        <v>0</v>
      </c>
    </row>
    <row r="1928" spans="1:7" ht="30" hidden="1" customHeight="1">
      <c r="A1928" s="848"/>
      <c r="B1928" s="2806"/>
      <c r="C1928" s="2110" t="s">
        <v>828</v>
      </c>
      <c r="D1928" s="1298" t="s">
        <v>829</v>
      </c>
      <c r="E1928" s="1190">
        <v>14779</v>
      </c>
      <c r="F1928" s="1190">
        <v>0</v>
      </c>
      <c r="G1928" s="1191">
        <f t="shared" si="416"/>
        <v>0</v>
      </c>
    </row>
    <row r="1929" spans="1:7" ht="17.100000000000001" hidden="1" customHeight="1">
      <c r="A1929" s="848"/>
      <c r="B1929" s="2806"/>
      <c r="C1929" s="1297"/>
      <c r="D1929" s="2111"/>
      <c r="E1929" s="854"/>
      <c r="F1929" s="854"/>
      <c r="G1929" s="855"/>
    </row>
    <row r="1930" spans="1:7" ht="17.100000000000001" customHeight="1">
      <c r="A1930" s="848"/>
      <c r="B1930" s="2806"/>
      <c r="C1930" s="2794" t="s">
        <v>618</v>
      </c>
      <c r="D1930" s="2794"/>
      <c r="E1930" s="2088">
        <f>SUM(E1931:E1933)</f>
        <v>4812281</v>
      </c>
      <c r="F1930" s="2088">
        <f t="shared" ref="F1930" si="422">SUM(F1931:F1933)</f>
        <v>4000000</v>
      </c>
      <c r="G1930" s="2089">
        <f t="shared" si="416"/>
        <v>0.83120665646914638</v>
      </c>
    </row>
    <row r="1931" spans="1:7" ht="28.5" hidden="1" customHeight="1">
      <c r="A1931" s="848"/>
      <c r="B1931" s="974"/>
      <c r="C1931" s="2090" t="s">
        <v>298</v>
      </c>
      <c r="D1931" s="2091" t="s">
        <v>671</v>
      </c>
      <c r="E1931" s="2088">
        <v>10000</v>
      </c>
      <c r="F1931" s="2088">
        <v>0</v>
      </c>
      <c r="G1931" s="2089">
        <f t="shared" si="416"/>
        <v>0</v>
      </c>
    </row>
    <row r="1932" spans="1:7" ht="40.5" customHeight="1" thickBot="1">
      <c r="A1932" s="848"/>
      <c r="B1932" s="860"/>
      <c r="C1932" s="2092" t="s">
        <v>962</v>
      </c>
      <c r="D1932" s="2093" t="s">
        <v>963</v>
      </c>
      <c r="E1932" s="2088">
        <v>4455500</v>
      </c>
      <c r="F1932" s="2088">
        <v>4000000</v>
      </c>
      <c r="G1932" s="2089">
        <f t="shared" si="416"/>
        <v>0.89776680507238249</v>
      </c>
    </row>
    <row r="1933" spans="1:7" ht="41.25" hidden="1" customHeight="1" thickBot="1">
      <c r="A1933" s="848"/>
      <c r="B1933" s="860"/>
      <c r="C1933" s="1036" t="s">
        <v>964</v>
      </c>
      <c r="D1933" s="1037" t="s">
        <v>965</v>
      </c>
      <c r="E1933" s="962">
        <v>346781</v>
      </c>
      <c r="F1933" s="962">
        <v>0</v>
      </c>
      <c r="G1933" s="963">
        <f t="shared" si="416"/>
        <v>0</v>
      </c>
    </row>
    <row r="1934" spans="1:7" ht="17.100000000000001" customHeight="1" thickBot="1">
      <c r="A1934" s="848"/>
      <c r="B1934" s="1072" t="s">
        <v>966</v>
      </c>
      <c r="C1934" s="1073"/>
      <c r="D1934" s="1074" t="s">
        <v>254</v>
      </c>
      <c r="E1934" s="1075">
        <f>E1935+E1970</f>
        <v>6695531</v>
      </c>
      <c r="F1934" s="1075">
        <f>F1935+F1970</f>
        <v>6226251</v>
      </c>
      <c r="G1934" s="1076">
        <f t="shared" si="416"/>
        <v>0.92991145885218063</v>
      </c>
    </row>
    <row r="1935" spans="1:7" ht="17.100000000000001" customHeight="1">
      <c r="A1935" s="848"/>
      <c r="B1935" s="2803"/>
      <c r="C1935" s="2804" t="s">
        <v>521</v>
      </c>
      <c r="D1935" s="2804"/>
      <c r="E1935" s="854">
        <f>E1936+E1950+E1946</f>
        <v>605200</v>
      </c>
      <c r="F1935" s="854">
        <f t="shared" ref="F1935" si="423">F1936+F1950+F1946</f>
        <v>592000</v>
      </c>
      <c r="G1935" s="855">
        <f t="shared" si="416"/>
        <v>0.97818902842035693</v>
      </c>
    </row>
    <row r="1936" spans="1:7" ht="17.100000000000001" customHeight="1">
      <c r="A1936" s="848"/>
      <c r="B1936" s="2803"/>
      <c r="C1936" s="2794" t="s">
        <v>522</v>
      </c>
      <c r="D1936" s="2794"/>
      <c r="E1936" s="2088">
        <f t="shared" ref="E1936:F1936" si="424">SUM(E1937,E1942)</f>
        <v>281000</v>
      </c>
      <c r="F1936" s="2088">
        <f t="shared" si="424"/>
        <v>505000</v>
      </c>
      <c r="G1936" s="2089">
        <f t="shared" si="416"/>
        <v>1.7971530249110321</v>
      </c>
    </row>
    <row r="1937" spans="1:7" ht="17.100000000000001" customHeight="1">
      <c r="A1937" s="848"/>
      <c r="B1937" s="2803"/>
      <c r="C1937" s="2788" t="s">
        <v>523</v>
      </c>
      <c r="D1937" s="2788"/>
      <c r="E1937" s="2088">
        <f t="shared" ref="E1937:F1937" si="425">SUM(E1938:E1940)</f>
        <v>75000</v>
      </c>
      <c r="F1937" s="2088">
        <f t="shared" si="425"/>
        <v>10000</v>
      </c>
      <c r="G1937" s="2089">
        <f t="shared" si="416"/>
        <v>0.13333333333333333</v>
      </c>
    </row>
    <row r="1938" spans="1:7" ht="17.100000000000001" customHeight="1">
      <c r="A1938" s="848"/>
      <c r="B1938" s="2803"/>
      <c r="C1938" s="2092" t="s">
        <v>528</v>
      </c>
      <c r="D1938" s="2093" t="s">
        <v>529</v>
      </c>
      <c r="E1938" s="2088">
        <v>5715</v>
      </c>
      <c r="F1938" s="2088">
        <v>762</v>
      </c>
      <c r="G1938" s="2089">
        <f t="shared" si="416"/>
        <v>0.13333333333333333</v>
      </c>
    </row>
    <row r="1939" spans="1:7" ht="17.100000000000001" customHeight="1">
      <c r="A1939" s="848"/>
      <c r="B1939" s="2803"/>
      <c r="C1939" s="2092" t="s">
        <v>530</v>
      </c>
      <c r="D1939" s="2093" t="s">
        <v>531</v>
      </c>
      <c r="E1939" s="2088">
        <v>585</v>
      </c>
      <c r="F1939" s="2088">
        <v>78</v>
      </c>
      <c r="G1939" s="2089">
        <f t="shared" si="416"/>
        <v>0.13333333333333333</v>
      </c>
    </row>
    <row r="1940" spans="1:7" ht="17.100000000000001" customHeight="1">
      <c r="A1940" s="848"/>
      <c r="B1940" s="2803"/>
      <c r="C1940" s="2092" t="s">
        <v>532</v>
      </c>
      <c r="D1940" s="2093" t="s">
        <v>533</v>
      </c>
      <c r="E1940" s="2088">
        <v>68700</v>
      </c>
      <c r="F1940" s="2088">
        <v>9160</v>
      </c>
      <c r="G1940" s="2089">
        <f t="shared" si="416"/>
        <v>0.13333333333333333</v>
      </c>
    </row>
    <row r="1941" spans="1:7" ht="17.100000000000001" customHeight="1">
      <c r="A1941" s="848"/>
      <c r="B1941" s="2803"/>
      <c r="C1941" s="2091"/>
      <c r="D1941" s="2091"/>
      <c r="E1941" s="2088"/>
      <c r="F1941" s="2088"/>
      <c r="G1941" s="2089"/>
    </row>
    <row r="1942" spans="1:7" ht="17.100000000000001" customHeight="1">
      <c r="A1942" s="848"/>
      <c r="B1942" s="2803"/>
      <c r="C1942" s="2805" t="s">
        <v>534</v>
      </c>
      <c r="D1942" s="2805"/>
      <c r="E1942" s="2088">
        <f t="shared" ref="E1942:F1942" si="426">SUM(E1943:E1944)</f>
        <v>206000</v>
      </c>
      <c r="F1942" s="2088">
        <f t="shared" si="426"/>
        <v>495000</v>
      </c>
      <c r="G1942" s="2089">
        <f t="shared" si="416"/>
        <v>2.4029126213592233</v>
      </c>
    </row>
    <row r="1943" spans="1:7" ht="17.100000000000001" customHeight="1">
      <c r="A1943" s="848"/>
      <c r="B1943" s="2803"/>
      <c r="C1943" s="2092" t="s">
        <v>537</v>
      </c>
      <c r="D1943" s="2093" t="s">
        <v>538</v>
      </c>
      <c r="E1943" s="2088">
        <v>28200</v>
      </c>
      <c r="F1943" s="2088">
        <v>7000</v>
      </c>
      <c r="G1943" s="2089">
        <f t="shared" si="416"/>
        <v>0.24822695035460993</v>
      </c>
    </row>
    <row r="1944" spans="1:7" ht="17.100000000000001" customHeight="1">
      <c r="A1944" s="848"/>
      <c r="B1944" s="2803"/>
      <c r="C1944" s="2092" t="s">
        <v>547</v>
      </c>
      <c r="D1944" s="2093" t="s">
        <v>548</v>
      </c>
      <c r="E1944" s="2088">
        <v>177800</v>
      </c>
      <c r="F1944" s="2088">
        <v>488000</v>
      </c>
      <c r="G1944" s="2089">
        <f t="shared" si="416"/>
        <v>2.7446569178852642</v>
      </c>
    </row>
    <row r="1945" spans="1:7" ht="17.100000000000001" customHeight="1">
      <c r="A1945" s="848"/>
      <c r="B1945" s="2112"/>
      <c r="C1945" s="2113"/>
      <c r="D1945" s="2114"/>
      <c r="E1945" s="2088"/>
      <c r="F1945" s="2088"/>
      <c r="G1945" s="2089"/>
    </row>
    <row r="1946" spans="1:7" ht="17.100000000000001" hidden="1" customHeight="1">
      <c r="A1946" s="848"/>
      <c r="B1946" s="2112"/>
      <c r="C1946" s="2794" t="s">
        <v>618</v>
      </c>
      <c r="D1946" s="2794"/>
      <c r="E1946" s="2088">
        <f>SUM(E1947:E1948)</f>
        <v>73500</v>
      </c>
      <c r="F1946" s="2088">
        <f t="shared" ref="F1946" si="427">SUM(F1947:F1948)</f>
        <v>0</v>
      </c>
      <c r="G1946" s="2089">
        <f t="shared" si="416"/>
        <v>0</v>
      </c>
    </row>
    <row r="1947" spans="1:7" ht="42.75" hidden="1" customHeight="1">
      <c r="A1947" s="848"/>
      <c r="B1947" s="2112"/>
      <c r="C1947" s="2092" t="s">
        <v>633</v>
      </c>
      <c r="D1947" s="2093" t="s">
        <v>634</v>
      </c>
      <c r="E1947" s="2088">
        <v>43500</v>
      </c>
      <c r="F1947" s="2088">
        <v>0</v>
      </c>
      <c r="G1947" s="2089">
        <f t="shared" si="416"/>
        <v>0</v>
      </c>
    </row>
    <row r="1948" spans="1:7" ht="30.75" hidden="1" customHeight="1">
      <c r="A1948" s="848"/>
      <c r="B1948" s="2112"/>
      <c r="C1948" s="2092" t="s">
        <v>298</v>
      </c>
      <c r="D1948" s="2093" t="s">
        <v>708</v>
      </c>
      <c r="E1948" s="2088">
        <v>30000</v>
      </c>
      <c r="F1948" s="2088">
        <v>0</v>
      </c>
      <c r="G1948" s="2089">
        <f t="shared" si="416"/>
        <v>0</v>
      </c>
    </row>
    <row r="1949" spans="1:7" ht="17.100000000000001" hidden="1" customHeight="1">
      <c r="A1949" s="848"/>
      <c r="B1949" s="2112"/>
      <c r="C1949" s="2113"/>
      <c r="D1949" s="2114"/>
      <c r="E1949" s="2088"/>
      <c r="F1949" s="2088"/>
      <c r="G1949" s="2089"/>
    </row>
    <row r="1950" spans="1:7" ht="17.100000000000001" customHeight="1">
      <c r="A1950" s="848"/>
      <c r="B1950" s="2112"/>
      <c r="C1950" s="2794" t="s">
        <v>587</v>
      </c>
      <c r="D1950" s="2794"/>
      <c r="E1950" s="2088">
        <f>SUM(E1951:E1968)</f>
        <v>250700</v>
      </c>
      <c r="F1950" s="2088">
        <f t="shared" ref="F1950" si="428">SUM(F1951:F1968)</f>
        <v>87000</v>
      </c>
      <c r="G1950" s="2089">
        <f t="shared" si="416"/>
        <v>0.34702832070203432</v>
      </c>
    </row>
    <row r="1951" spans="1:7" ht="17.100000000000001" hidden="1" customHeight="1">
      <c r="A1951" s="848"/>
      <c r="B1951" s="2112"/>
      <c r="C1951" s="2092" t="s">
        <v>743</v>
      </c>
      <c r="D1951" s="2115" t="s">
        <v>744</v>
      </c>
      <c r="E1951" s="2088">
        <v>2890</v>
      </c>
      <c r="F1951" s="2088">
        <v>0</v>
      </c>
      <c r="G1951" s="2089">
        <f t="shared" si="416"/>
        <v>0</v>
      </c>
    </row>
    <row r="1952" spans="1:7" ht="17.100000000000001" hidden="1" customHeight="1">
      <c r="A1952" s="848"/>
      <c r="B1952" s="2112"/>
      <c r="C1952" s="2092" t="s">
        <v>745</v>
      </c>
      <c r="D1952" s="2115" t="s">
        <v>744</v>
      </c>
      <c r="E1952" s="2088">
        <v>510</v>
      </c>
      <c r="F1952" s="2088">
        <v>0</v>
      </c>
      <c r="G1952" s="2089">
        <f t="shared" si="416"/>
        <v>0</v>
      </c>
    </row>
    <row r="1953" spans="1:7" ht="17.100000000000001" customHeight="1">
      <c r="A1953" s="848"/>
      <c r="B1953" s="2112"/>
      <c r="C1953" s="2092" t="s">
        <v>591</v>
      </c>
      <c r="D1953" s="2093" t="s">
        <v>525</v>
      </c>
      <c r="E1953" s="2088">
        <v>89250</v>
      </c>
      <c r="F1953" s="2088">
        <v>33000</v>
      </c>
      <c r="G1953" s="2089">
        <f t="shared" si="416"/>
        <v>0.36974789915966388</v>
      </c>
    </row>
    <row r="1954" spans="1:7" ht="17.100000000000001" customHeight="1">
      <c r="A1954" s="848"/>
      <c r="B1954" s="2112"/>
      <c r="C1954" s="2092" t="s">
        <v>592</v>
      </c>
      <c r="D1954" s="2093" t="s">
        <v>525</v>
      </c>
      <c r="E1954" s="2088">
        <v>15750</v>
      </c>
      <c r="F1954" s="2088">
        <v>6000</v>
      </c>
      <c r="G1954" s="2089">
        <f t="shared" si="416"/>
        <v>0.38095238095238093</v>
      </c>
    </row>
    <row r="1955" spans="1:7" ht="17.100000000000001" customHeight="1">
      <c r="A1955" s="848"/>
      <c r="B1955" s="2112"/>
      <c r="C1955" s="2092" t="s">
        <v>595</v>
      </c>
      <c r="D1955" s="2093" t="s">
        <v>529</v>
      </c>
      <c r="E1955" s="2088">
        <v>16235</v>
      </c>
      <c r="F1955" s="2088">
        <v>3000</v>
      </c>
      <c r="G1955" s="2089">
        <f t="shared" si="416"/>
        <v>0.18478595626732369</v>
      </c>
    </row>
    <row r="1956" spans="1:7" ht="17.100000000000001" customHeight="1">
      <c r="A1956" s="848"/>
      <c r="B1956" s="2112"/>
      <c r="C1956" s="2092" t="s">
        <v>596</v>
      </c>
      <c r="D1956" s="2093" t="s">
        <v>529</v>
      </c>
      <c r="E1956" s="2088">
        <v>2865</v>
      </c>
      <c r="F1956" s="2088">
        <v>400</v>
      </c>
      <c r="G1956" s="2089">
        <f t="shared" si="416"/>
        <v>0.13961605584642234</v>
      </c>
    </row>
    <row r="1957" spans="1:7" ht="17.100000000000001" customHeight="1">
      <c r="A1957" s="848"/>
      <c r="B1957" s="2112"/>
      <c r="C1957" s="2092" t="s">
        <v>597</v>
      </c>
      <c r="D1957" s="2093" t="s">
        <v>531</v>
      </c>
      <c r="E1957" s="2088">
        <v>1700</v>
      </c>
      <c r="F1957" s="2088">
        <v>500</v>
      </c>
      <c r="G1957" s="2089">
        <f t="shared" si="416"/>
        <v>0.29411764705882354</v>
      </c>
    </row>
    <row r="1958" spans="1:7" ht="17.100000000000001" customHeight="1">
      <c r="A1958" s="848"/>
      <c r="B1958" s="2112"/>
      <c r="C1958" s="2092" t="s">
        <v>598</v>
      </c>
      <c r="D1958" s="2093" t="s">
        <v>531</v>
      </c>
      <c r="E1958" s="2088">
        <v>300</v>
      </c>
      <c r="F1958" s="2088">
        <v>200</v>
      </c>
      <c r="G1958" s="2089">
        <f t="shared" si="416"/>
        <v>0.66666666666666663</v>
      </c>
    </row>
    <row r="1959" spans="1:7" ht="17.100000000000001" customHeight="1">
      <c r="A1959" s="848"/>
      <c r="B1959" s="2112"/>
      <c r="C1959" s="2092" t="s">
        <v>599</v>
      </c>
      <c r="D1959" s="2093" t="s">
        <v>533</v>
      </c>
      <c r="E1959" s="2088">
        <v>10795</v>
      </c>
      <c r="F1959" s="2088">
        <v>2200</v>
      </c>
      <c r="G1959" s="2089">
        <f t="shared" si="416"/>
        <v>0.20379805465493284</v>
      </c>
    </row>
    <row r="1960" spans="1:7" ht="17.100000000000001" customHeight="1">
      <c r="A1960" s="848"/>
      <c r="B1960" s="2112"/>
      <c r="C1960" s="2092" t="s">
        <v>600</v>
      </c>
      <c r="D1960" s="2093" t="s">
        <v>533</v>
      </c>
      <c r="E1960" s="2088">
        <v>1905</v>
      </c>
      <c r="F1960" s="2088">
        <v>450</v>
      </c>
      <c r="G1960" s="2089">
        <f t="shared" si="416"/>
        <v>0.23622047244094488</v>
      </c>
    </row>
    <row r="1961" spans="1:7" ht="17.100000000000001" customHeight="1">
      <c r="A1961" s="848"/>
      <c r="B1961" s="2112"/>
      <c r="C1961" s="2092" t="s">
        <v>604</v>
      </c>
      <c r="D1961" s="2093" t="s">
        <v>538</v>
      </c>
      <c r="E1961" s="2088">
        <v>5525</v>
      </c>
      <c r="F1961" s="2088">
        <v>5100</v>
      </c>
      <c r="G1961" s="2089">
        <f t="shared" si="416"/>
        <v>0.92307692307692313</v>
      </c>
    </row>
    <row r="1962" spans="1:7" ht="17.100000000000001" customHeight="1">
      <c r="A1962" s="848"/>
      <c r="B1962" s="2112"/>
      <c r="C1962" s="2092" t="s">
        <v>605</v>
      </c>
      <c r="D1962" s="2093" t="s">
        <v>538</v>
      </c>
      <c r="E1962" s="2088">
        <v>975</v>
      </c>
      <c r="F1962" s="2088">
        <v>900</v>
      </c>
      <c r="G1962" s="2089">
        <f t="shared" si="416"/>
        <v>0.92307692307692313</v>
      </c>
    </row>
    <row r="1963" spans="1:7" ht="17.100000000000001" customHeight="1">
      <c r="A1963" s="848"/>
      <c r="B1963" s="2112"/>
      <c r="C1963" s="2092" t="s">
        <v>608</v>
      </c>
      <c r="D1963" s="2093" t="s">
        <v>548</v>
      </c>
      <c r="E1963" s="2088">
        <v>53125</v>
      </c>
      <c r="F1963" s="2088">
        <v>17800</v>
      </c>
      <c r="G1963" s="2089">
        <f t="shared" si="416"/>
        <v>0.33505882352941174</v>
      </c>
    </row>
    <row r="1964" spans="1:7" ht="17.100000000000001" customHeight="1">
      <c r="A1964" s="848"/>
      <c r="B1964" s="2112"/>
      <c r="C1964" s="2092" t="s">
        <v>609</v>
      </c>
      <c r="D1964" s="2093" t="s">
        <v>548</v>
      </c>
      <c r="E1964" s="2088">
        <v>9375</v>
      </c>
      <c r="F1964" s="2088">
        <v>3000</v>
      </c>
      <c r="G1964" s="2089">
        <f t="shared" si="416"/>
        <v>0.32</v>
      </c>
    </row>
    <row r="1965" spans="1:7" ht="17.100000000000001" customHeight="1">
      <c r="A1965" s="848"/>
      <c r="B1965" s="2112"/>
      <c r="C1965" s="2092" t="s">
        <v>612</v>
      </c>
      <c r="D1965" s="2093" t="s">
        <v>556</v>
      </c>
      <c r="E1965" s="2088">
        <v>2975</v>
      </c>
      <c r="F1965" s="2088">
        <v>850</v>
      </c>
      <c r="G1965" s="2089">
        <f t="shared" si="416"/>
        <v>0.2857142857142857</v>
      </c>
    </row>
    <row r="1966" spans="1:7" ht="17.100000000000001" customHeight="1">
      <c r="A1966" s="848"/>
      <c r="B1966" s="2112"/>
      <c r="C1966" s="2092" t="s">
        <v>613</v>
      </c>
      <c r="D1966" s="2093" t="s">
        <v>556</v>
      </c>
      <c r="E1966" s="2088">
        <v>525</v>
      </c>
      <c r="F1966" s="2088">
        <v>150</v>
      </c>
      <c r="G1966" s="2089">
        <f t="shared" si="416"/>
        <v>0.2857142857142857</v>
      </c>
    </row>
    <row r="1967" spans="1:7" ht="17.100000000000001" customHeight="1">
      <c r="A1967" s="848"/>
      <c r="B1967" s="2112"/>
      <c r="C1967" s="2092" t="s">
        <v>702</v>
      </c>
      <c r="D1967" s="2114" t="s">
        <v>684</v>
      </c>
      <c r="E1967" s="2088">
        <v>30600</v>
      </c>
      <c r="F1967" s="2088">
        <v>11500</v>
      </c>
      <c r="G1967" s="2089">
        <f t="shared" si="416"/>
        <v>0.37581699346405228</v>
      </c>
    </row>
    <row r="1968" spans="1:7" ht="17.100000000000001" customHeight="1">
      <c r="A1968" s="848"/>
      <c r="B1968" s="2112"/>
      <c r="C1968" s="2092" t="s">
        <v>703</v>
      </c>
      <c r="D1968" s="2114" t="s">
        <v>684</v>
      </c>
      <c r="E1968" s="2088">
        <v>5400</v>
      </c>
      <c r="F1968" s="2088">
        <v>1950</v>
      </c>
      <c r="G1968" s="2089">
        <f t="shared" si="416"/>
        <v>0.3611111111111111</v>
      </c>
    </row>
    <row r="1969" spans="1:10" ht="17.100000000000001" customHeight="1">
      <c r="A1969" s="848"/>
      <c r="B1969" s="2112"/>
      <c r="C1969" s="2113"/>
      <c r="D1969" s="2114"/>
      <c r="E1969" s="2088"/>
      <c r="F1969" s="2088"/>
      <c r="G1969" s="2089"/>
    </row>
    <row r="1970" spans="1:10" ht="17.100000000000001" customHeight="1">
      <c r="A1970" s="848"/>
      <c r="B1970" s="860"/>
      <c r="C1970" s="2795" t="s">
        <v>574</v>
      </c>
      <c r="D1970" s="2795"/>
      <c r="E1970" s="2104">
        <f t="shared" ref="E1970:F1970" si="429">E1971</f>
        <v>6090331</v>
      </c>
      <c r="F1970" s="2104">
        <f t="shared" si="429"/>
        <v>5634251</v>
      </c>
      <c r="G1970" s="2105">
        <f t="shared" si="416"/>
        <v>0.92511408657427652</v>
      </c>
    </row>
    <row r="1971" spans="1:10" ht="17.100000000000001" customHeight="1">
      <c r="A1971" s="848"/>
      <c r="B1971" s="860"/>
      <c r="C1971" s="2796" t="s">
        <v>575</v>
      </c>
      <c r="D1971" s="2797"/>
      <c r="E1971" s="2088">
        <f t="shared" ref="E1971:F1971" si="430">SUM(E1972:E1975)</f>
        <v>6090331</v>
      </c>
      <c r="F1971" s="2088">
        <f t="shared" si="430"/>
        <v>5634251</v>
      </c>
      <c r="G1971" s="2089">
        <f t="shared" si="416"/>
        <v>0.92511408657427652</v>
      </c>
    </row>
    <row r="1972" spans="1:10" ht="17.100000000000001" customHeight="1">
      <c r="A1972" s="848"/>
      <c r="B1972" s="860"/>
      <c r="C1972" s="2116" t="s">
        <v>582</v>
      </c>
      <c r="D1972" s="1058" t="s">
        <v>577</v>
      </c>
      <c r="E1972" s="2025">
        <v>200831</v>
      </c>
      <c r="F1972" s="2025">
        <v>118871</v>
      </c>
      <c r="G1972" s="2078">
        <f t="shared" si="416"/>
        <v>0.59189567347670424</v>
      </c>
    </row>
    <row r="1973" spans="1:10" ht="17.100000000000001" customHeight="1">
      <c r="A1973" s="848"/>
      <c r="B1973" s="860"/>
      <c r="C1973" s="1036" t="s">
        <v>676</v>
      </c>
      <c r="D1973" s="1058" t="s">
        <v>577</v>
      </c>
      <c r="E1973" s="2025">
        <v>4734075</v>
      </c>
      <c r="F1973" s="2025">
        <v>4688073</v>
      </c>
      <c r="G1973" s="2078">
        <f t="shared" si="416"/>
        <v>0.99028279019660648</v>
      </c>
    </row>
    <row r="1974" spans="1:10" ht="17.100000000000001" customHeight="1">
      <c r="A1974" s="848"/>
      <c r="B1974" s="860"/>
      <c r="C1974" s="2116" t="s">
        <v>677</v>
      </c>
      <c r="D1974" s="1058" t="s">
        <v>577</v>
      </c>
      <c r="E1974" s="2025">
        <v>835425</v>
      </c>
      <c r="F1974" s="2025">
        <v>827307</v>
      </c>
      <c r="G1974" s="2078">
        <f t="shared" si="416"/>
        <v>0.99028279019660648</v>
      </c>
    </row>
    <row r="1975" spans="1:10" ht="38.25" hidden="1">
      <c r="A1975" s="848"/>
      <c r="B1975" s="860"/>
      <c r="C1975" s="2116" t="s">
        <v>695</v>
      </c>
      <c r="D1975" s="2117" t="s">
        <v>696</v>
      </c>
      <c r="E1975" s="2118">
        <f>40000+280000</f>
        <v>320000</v>
      </c>
      <c r="F1975" s="2118">
        <v>0</v>
      </c>
      <c r="G1975" s="2119">
        <f t="shared" si="416"/>
        <v>0</v>
      </c>
    </row>
    <row r="1976" spans="1:10" ht="17.100000000000001" customHeight="1">
      <c r="A1976" s="848"/>
      <c r="B1976" s="860"/>
      <c r="C1976" s="2798"/>
      <c r="D1976" s="2799"/>
      <c r="E1976" s="2118"/>
      <c r="F1976" s="2118"/>
      <c r="G1976" s="2119"/>
    </row>
    <row r="1977" spans="1:10" ht="17.100000000000001" customHeight="1">
      <c r="A1977" s="848"/>
      <c r="B1977" s="860"/>
      <c r="C1977" s="2800" t="s">
        <v>585</v>
      </c>
      <c r="D1977" s="2801"/>
      <c r="E1977" s="2118">
        <f>SUM(E1978:E1979)</f>
        <v>5569500</v>
      </c>
      <c r="F1977" s="2118">
        <f t="shared" ref="F1977" si="431">SUM(F1978:F1979)</f>
        <v>5515380</v>
      </c>
      <c r="G1977" s="2119">
        <f t="shared" si="416"/>
        <v>0.99028279019660648</v>
      </c>
    </row>
    <row r="1978" spans="1:10" ht="17.100000000000001" customHeight="1">
      <c r="A1978" s="848"/>
      <c r="B1978" s="860"/>
      <c r="C1978" s="1036" t="s">
        <v>676</v>
      </c>
      <c r="D1978" s="1037" t="s">
        <v>577</v>
      </c>
      <c r="E1978" s="2120">
        <v>4734075</v>
      </c>
      <c r="F1978" s="2120">
        <v>4688073</v>
      </c>
      <c r="G1978" s="2082">
        <f t="shared" si="416"/>
        <v>0.99028279019660648</v>
      </c>
    </row>
    <row r="1979" spans="1:10" ht="17.100000000000001" customHeight="1" thickBot="1">
      <c r="A1979" s="848"/>
      <c r="B1979" s="860"/>
      <c r="C1979" s="1400" t="s">
        <v>677</v>
      </c>
      <c r="D1979" s="1370" t="s">
        <v>577</v>
      </c>
      <c r="E1979" s="970">
        <v>835425</v>
      </c>
      <c r="F1979" s="970">
        <v>827307</v>
      </c>
      <c r="G1979" s="2103">
        <f t="shared" ref="G1979:G2057" si="432">F1979/E1979</f>
        <v>0.99028279019660648</v>
      </c>
    </row>
    <row r="1980" spans="1:10" s="828" customFormat="1" ht="27.75" customHeight="1" thickBot="1">
      <c r="A1980" s="842" t="s">
        <v>174</v>
      </c>
      <c r="B1980" s="1205"/>
      <c r="C1980" s="1206"/>
      <c r="D1980" s="1207" t="s">
        <v>967</v>
      </c>
      <c r="E1980" s="1208">
        <f t="shared" ref="E1980" si="433">E1985+E2018</f>
        <v>1340967</v>
      </c>
      <c r="F1980" s="1208">
        <f>F1985+F2018+F1981</f>
        <v>2359327</v>
      </c>
      <c r="G1980" s="1209">
        <f t="shared" si="432"/>
        <v>1.7594221185159664</v>
      </c>
      <c r="I1980" s="825"/>
      <c r="J1980" s="825"/>
    </row>
    <row r="1981" spans="1:10" s="828" customFormat="1" ht="17.100000000000001" customHeight="1" thickBot="1">
      <c r="A1981" s="848"/>
      <c r="B1981" s="1072" t="s">
        <v>991</v>
      </c>
      <c r="C1981" s="1073"/>
      <c r="D1981" s="1074" t="s">
        <v>992</v>
      </c>
      <c r="E1981" s="1075">
        <f>E1985</f>
        <v>1323674</v>
      </c>
      <c r="F1981" s="1075">
        <f>SUM(F1982)</f>
        <v>150000</v>
      </c>
      <c r="G1981" s="1076">
        <f t="shared" ref="G1981:G1984" si="434">F1981/E1981</f>
        <v>0.11332095364870806</v>
      </c>
      <c r="I1981" s="825"/>
      <c r="J1981" s="825"/>
    </row>
    <row r="1982" spans="1:10" s="828" customFormat="1" ht="17.100000000000001" customHeight="1">
      <c r="A1982" s="1420"/>
      <c r="B1982" s="860"/>
      <c r="C1982" s="2735" t="s">
        <v>574</v>
      </c>
      <c r="D1982" s="2736"/>
      <c r="E1982" s="2147">
        <f>E1983</f>
        <v>630000</v>
      </c>
      <c r="F1982" s="2147">
        <f t="shared" ref="F1982:F1983" si="435">F1983</f>
        <v>150000</v>
      </c>
      <c r="G1982" s="2148">
        <f t="shared" si="434"/>
        <v>0.23809523809523808</v>
      </c>
      <c r="I1982" s="825"/>
      <c r="J1982" s="825"/>
    </row>
    <row r="1983" spans="1:10" s="828" customFormat="1" ht="17.100000000000001" customHeight="1">
      <c r="A1983" s="1420"/>
      <c r="B1983" s="860"/>
      <c r="C1983" s="2737" t="s">
        <v>575</v>
      </c>
      <c r="D1983" s="2738"/>
      <c r="E1983" s="2149">
        <f>E1984</f>
        <v>630000</v>
      </c>
      <c r="F1983" s="2149">
        <f t="shared" si="435"/>
        <v>150000</v>
      </c>
      <c r="G1983" s="2150">
        <f t="shared" si="434"/>
        <v>0.23809523809523808</v>
      </c>
      <c r="I1983" s="825"/>
      <c r="J1983" s="825"/>
    </row>
    <row r="1984" spans="1:10" s="828" customFormat="1" ht="42.75" customHeight="1" thickBot="1">
      <c r="A1984" s="1420"/>
      <c r="B1984" s="860"/>
      <c r="C1984" s="2151" t="s">
        <v>865</v>
      </c>
      <c r="D1984" s="2152" t="s">
        <v>866</v>
      </c>
      <c r="E1984" s="1371">
        <f>30000+600000</f>
        <v>630000</v>
      </c>
      <c r="F1984" s="2153">
        <v>150000</v>
      </c>
      <c r="G1984" s="2154">
        <f t="shared" si="434"/>
        <v>0.23809523809523808</v>
      </c>
      <c r="I1984" s="825"/>
      <c r="J1984" s="825"/>
    </row>
    <row r="1985" spans="1:10" s="828" customFormat="1" ht="17.100000000000001" customHeight="1" thickBot="1">
      <c r="A1985" s="848"/>
      <c r="B1985" s="1072" t="s">
        <v>968</v>
      </c>
      <c r="C1985" s="1073"/>
      <c r="D1985" s="1074" t="s">
        <v>508</v>
      </c>
      <c r="E1985" s="1075">
        <f t="shared" ref="E1985:F1985" si="436">E1986</f>
        <v>1323674</v>
      </c>
      <c r="F1985" s="1075">
        <f t="shared" si="436"/>
        <v>2204327</v>
      </c>
      <c r="G1985" s="1076">
        <f t="shared" si="432"/>
        <v>1.6653095852906381</v>
      </c>
      <c r="I1985" s="825"/>
      <c r="J1985" s="825"/>
    </row>
    <row r="1986" spans="1:10" s="828" customFormat="1" ht="17.100000000000001" customHeight="1">
      <c r="A1986" s="848"/>
      <c r="B1986" s="860"/>
      <c r="C1986" s="2802" t="s">
        <v>521</v>
      </c>
      <c r="D1986" s="2802"/>
      <c r="E1986" s="854">
        <f>E1987+E2012+E2015</f>
        <v>1323674</v>
      </c>
      <c r="F1986" s="854">
        <f>F1987+F2012+F2015</f>
        <v>2204327</v>
      </c>
      <c r="G1986" s="855">
        <f t="shared" si="432"/>
        <v>1.6653095852906381</v>
      </c>
      <c r="I1986" s="825"/>
      <c r="J1986" s="825"/>
    </row>
    <row r="1987" spans="1:10" s="828" customFormat="1" ht="17.100000000000001" customHeight="1">
      <c r="A1987" s="848"/>
      <c r="B1987" s="860"/>
      <c r="C1987" s="2787" t="s">
        <v>522</v>
      </c>
      <c r="D1987" s="2787"/>
      <c r="E1987" s="2121">
        <f t="shared" ref="E1987:F1987" si="437">E1988+E1995</f>
        <v>1271944</v>
      </c>
      <c r="F1987" s="2121">
        <f t="shared" si="437"/>
        <v>1197786</v>
      </c>
      <c r="G1987" s="2122">
        <f t="shared" si="432"/>
        <v>0.94169711874107664</v>
      </c>
      <c r="I1987" s="825"/>
      <c r="J1987" s="825"/>
    </row>
    <row r="1988" spans="1:10" s="828" customFormat="1" ht="17.100000000000001" customHeight="1">
      <c r="A1988" s="848"/>
      <c r="B1988" s="860"/>
      <c r="C1988" s="2788" t="s">
        <v>523</v>
      </c>
      <c r="D1988" s="2788"/>
      <c r="E1988" s="2123">
        <f t="shared" ref="E1988:F1988" si="438">SUM(E1989:E1993)</f>
        <v>944624</v>
      </c>
      <c r="F1988" s="2123">
        <f t="shared" si="438"/>
        <v>939543</v>
      </c>
      <c r="G1988" s="2124">
        <f t="shared" si="432"/>
        <v>0.9946211402632158</v>
      </c>
      <c r="I1988" s="825"/>
      <c r="J1988" s="825"/>
    </row>
    <row r="1989" spans="1:10" s="828" customFormat="1" ht="17.100000000000001" customHeight="1">
      <c r="A1989" s="848"/>
      <c r="B1989" s="860"/>
      <c r="C1989" s="2125" t="s">
        <v>524</v>
      </c>
      <c r="D1989" s="2126" t="s">
        <v>525</v>
      </c>
      <c r="E1989" s="2121">
        <v>736024</v>
      </c>
      <c r="F1989" s="2121">
        <v>720642</v>
      </c>
      <c r="G1989" s="2122">
        <f t="shared" si="432"/>
        <v>0.97910122496005569</v>
      </c>
      <c r="I1989" s="825"/>
      <c r="J1989" s="825"/>
    </row>
    <row r="1990" spans="1:10" s="828" customFormat="1" ht="17.100000000000001" customHeight="1">
      <c r="A1990" s="848"/>
      <c r="B1990" s="860"/>
      <c r="C1990" s="2125" t="s">
        <v>526</v>
      </c>
      <c r="D1990" s="2126" t="s">
        <v>527</v>
      </c>
      <c r="E1990" s="2121">
        <v>50222</v>
      </c>
      <c r="F1990" s="2121">
        <v>52934</v>
      </c>
      <c r="G1990" s="2122">
        <f t="shared" si="432"/>
        <v>1.0540002389391103</v>
      </c>
      <c r="I1990" s="825"/>
      <c r="J1990" s="825"/>
    </row>
    <row r="1991" spans="1:10" s="828" customFormat="1" ht="17.100000000000001" customHeight="1">
      <c r="A1991" s="848"/>
      <c r="B1991" s="860"/>
      <c r="C1991" s="2125" t="s">
        <v>528</v>
      </c>
      <c r="D1991" s="2126" t="s">
        <v>529</v>
      </c>
      <c r="E1991" s="2121">
        <v>133668</v>
      </c>
      <c r="F1991" s="2121">
        <v>139453</v>
      </c>
      <c r="G1991" s="2122">
        <f t="shared" si="432"/>
        <v>1.043278870036209</v>
      </c>
      <c r="I1991" s="825"/>
      <c r="J1991" s="825"/>
    </row>
    <row r="1992" spans="1:10" s="828" customFormat="1" ht="17.100000000000001" customHeight="1">
      <c r="A1992" s="848"/>
      <c r="B1992" s="860"/>
      <c r="C1992" s="2125" t="s">
        <v>530</v>
      </c>
      <c r="D1992" s="2126" t="s">
        <v>531</v>
      </c>
      <c r="E1992" s="2121">
        <v>9771</v>
      </c>
      <c r="F1992" s="2121">
        <v>14204</v>
      </c>
      <c r="G1992" s="2122">
        <f t="shared" si="432"/>
        <v>1.4536894893050865</v>
      </c>
      <c r="I1992" s="825"/>
      <c r="J1992" s="825"/>
    </row>
    <row r="1993" spans="1:10" s="828" customFormat="1" ht="17.100000000000001" customHeight="1">
      <c r="A1993" s="848"/>
      <c r="B1993" s="860"/>
      <c r="C1993" s="2125" t="s">
        <v>532</v>
      </c>
      <c r="D1993" s="2126" t="s">
        <v>533</v>
      </c>
      <c r="E1993" s="2121">
        <v>14939</v>
      </c>
      <c r="F1993" s="2121">
        <v>12310</v>
      </c>
      <c r="G1993" s="2122">
        <f t="shared" si="432"/>
        <v>0.82401767186558672</v>
      </c>
      <c r="I1993" s="825"/>
      <c r="J1993" s="825"/>
    </row>
    <row r="1994" spans="1:10" s="828" customFormat="1" ht="17.100000000000001" customHeight="1">
      <c r="A1994" s="848"/>
      <c r="B1994" s="860"/>
      <c r="C1994" s="999"/>
      <c r="D1994" s="999"/>
      <c r="E1994" s="882"/>
      <c r="F1994" s="882"/>
      <c r="G1994" s="883"/>
      <c r="I1994" s="825"/>
      <c r="J1994" s="825"/>
    </row>
    <row r="1995" spans="1:10" s="828" customFormat="1" ht="17.100000000000001" customHeight="1">
      <c r="A1995" s="848"/>
      <c r="B1995" s="860"/>
      <c r="C1995" s="2784" t="s">
        <v>534</v>
      </c>
      <c r="D1995" s="2784"/>
      <c r="E1995" s="2123">
        <f t="shared" ref="E1995:F1995" si="439">SUM(E1996:E2010)</f>
        <v>327320</v>
      </c>
      <c r="F1995" s="2123">
        <f t="shared" si="439"/>
        <v>258243</v>
      </c>
      <c r="G1995" s="2124">
        <f t="shared" si="432"/>
        <v>0.78896187217401936</v>
      </c>
      <c r="I1995" s="825"/>
      <c r="J1995" s="825"/>
    </row>
    <row r="1996" spans="1:10" s="828" customFormat="1" ht="17.100000000000001" customHeight="1">
      <c r="A1996" s="848"/>
      <c r="B1996" s="860"/>
      <c r="C1996" s="2127" t="s">
        <v>628</v>
      </c>
      <c r="D1996" s="2128" t="s">
        <v>602</v>
      </c>
      <c r="E1996" s="2121">
        <v>14413</v>
      </c>
      <c r="F1996" s="2121">
        <v>10000</v>
      </c>
      <c r="G1996" s="2122">
        <f t="shared" si="432"/>
        <v>0.69381808089918828</v>
      </c>
      <c r="I1996" s="825"/>
      <c r="J1996" s="825"/>
    </row>
    <row r="1997" spans="1:10" s="828" customFormat="1" ht="17.100000000000001" customHeight="1">
      <c r="A1997" s="848"/>
      <c r="B1997" s="860"/>
      <c r="C1997" s="2125" t="s">
        <v>537</v>
      </c>
      <c r="D1997" s="2126" t="s">
        <v>538</v>
      </c>
      <c r="E1997" s="2121">
        <v>44365</v>
      </c>
      <c r="F1997" s="2121">
        <v>48600</v>
      </c>
      <c r="G1997" s="2122">
        <f t="shared" si="432"/>
        <v>1.0954581314098952</v>
      </c>
      <c r="I1997" s="825"/>
      <c r="J1997" s="825"/>
    </row>
    <row r="1998" spans="1:10" s="828" customFormat="1" ht="17.100000000000001" customHeight="1">
      <c r="A1998" s="848"/>
      <c r="B1998" s="860"/>
      <c r="C1998" s="2125" t="s">
        <v>539</v>
      </c>
      <c r="D1998" s="2126" t="s">
        <v>540</v>
      </c>
      <c r="E1998" s="2121">
        <v>3250</v>
      </c>
      <c r="F1998" s="2121">
        <v>2500</v>
      </c>
      <c r="G1998" s="2122">
        <f t="shared" si="432"/>
        <v>0.76923076923076927</v>
      </c>
      <c r="I1998" s="825"/>
      <c r="J1998" s="825"/>
    </row>
    <row r="1999" spans="1:10" s="828" customFormat="1" ht="17.100000000000001" hidden="1" customHeight="1">
      <c r="A1999" s="848"/>
      <c r="B1999" s="860"/>
      <c r="C1999" s="2125" t="s">
        <v>714</v>
      </c>
      <c r="D1999" s="2126" t="s">
        <v>715</v>
      </c>
      <c r="E1999" s="2121">
        <v>500</v>
      </c>
      <c r="F1999" s="2121">
        <v>0</v>
      </c>
      <c r="G1999" s="2122">
        <f t="shared" si="432"/>
        <v>0</v>
      </c>
      <c r="I1999" s="825"/>
      <c r="J1999" s="825"/>
    </row>
    <row r="2000" spans="1:10" s="828" customFormat="1" ht="17.100000000000001" customHeight="1">
      <c r="A2000" s="848"/>
      <c r="B2000" s="860"/>
      <c r="C2000" s="2125" t="s">
        <v>541</v>
      </c>
      <c r="D2000" s="2126" t="s">
        <v>542</v>
      </c>
      <c r="E2000" s="2121">
        <v>40871</v>
      </c>
      <c r="F2000" s="2121">
        <v>48000</v>
      </c>
      <c r="G2000" s="2122">
        <f t="shared" si="432"/>
        <v>1.1744268552274229</v>
      </c>
      <c r="I2000" s="825"/>
      <c r="J2000" s="825"/>
    </row>
    <row r="2001" spans="1:10" s="828" customFormat="1" ht="17.100000000000001" customHeight="1">
      <c r="A2001" s="848"/>
      <c r="B2001" s="860"/>
      <c r="C2001" s="2125" t="s">
        <v>543</v>
      </c>
      <c r="D2001" s="2126" t="s">
        <v>544</v>
      </c>
      <c r="E2001" s="2121">
        <v>3220</v>
      </c>
      <c r="F2001" s="2121">
        <v>16867</v>
      </c>
      <c r="G2001" s="2122">
        <f t="shared" si="432"/>
        <v>5.2381987577639748</v>
      </c>
      <c r="I2001" s="825"/>
      <c r="J2001" s="825"/>
    </row>
    <row r="2002" spans="1:10" s="828" customFormat="1" ht="17.100000000000001" customHeight="1">
      <c r="A2002" s="848"/>
      <c r="B2002" s="860"/>
      <c r="C2002" s="2125" t="s">
        <v>545</v>
      </c>
      <c r="D2002" s="2126" t="s">
        <v>546</v>
      </c>
      <c r="E2002" s="2121">
        <v>1320</v>
      </c>
      <c r="F2002" s="2121">
        <v>2000</v>
      </c>
      <c r="G2002" s="2122">
        <f t="shared" si="432"/>
        <v>1.5151515151515151</v>
      </c>
      <c r="I2002" s="825"/>
      <c r="J2002" s="825"/>
    </row>
    <row r="2003" spans="1:10" s="828" customFormat="1" ht="17.100000000000001" customHeight="1">
      <c r="A2003" s="848"/>
      <c r="B2003" s="860"/>
      <c r="C2003" s="2125" t="s">
        <v>547</v>
      </c>
      <c r="D2003" s="2126" t="s">
        <v>548</v>
      </c>
      <c r="E2003" s="2121">
        <v>115311</v>
      </c>
      <c r="F2003" s="2121">
        <v>28438</v>
      </c>
      <c r="G2003" s="2122">
        <f t="shared" si="432"/>
        <v>0.24662001023319544</v>
      </c>
      <c r="I2003" s="825"/>
      <c r="J2003" s="825"/>
    </row>
    <row r="2004" spans="1:10" s="828" customFormat="1" ht="16.5" customHeight="1">
      <c r="A2004" s="848"/>
      <c r="B2004" s="860"/>
      <c r="C2004" s="2125" t="s">
        <v>549</v>
      </c>
      <c r="D2004" s="2126" t="s">
        <v>550</v>
      </c>
      <c r="E2004" s="2121">
        <v>5800</v>
      </c>
      <c r="F2004" s="2121">
        <v>4200</v>
      </c>
      <c r="G2004" s="2122">
        <f t="shared" si="432"/>
        <v>0.72413793103448276</v>
      </c>
      <c r="I2004" s="825"/>
      <c r="J2004" s="825"/>
    </row>
    <row r="2005" spans="1:10" s="828" customFormat="1" ht="24" customHeight="1">
      <c r="A2005" s="848"/>
      <c r="B2005" s="860"/>
      <c r="C2005" s="2125" t="s">
        <v>553</v>
      </c>
      <c r="D2005" s="2126" t="s">
        <v>554</v>
      </c>
      <c r="E2005" s="2121">
        <v>65429</v>
      </c>
      <c r="F2005" s="2121">
        <v>66757</v>
      </c>
      <c r="G2005" s="2122">
        <f t="shared" si="432"/>
        <v>1.020296810282902</v>
      </c>
      <c r="I2005" s="825"/>
      <c r="J2005" s="825"/>
    </row>
    <row r="2006" spans="1:10" s="828" customFormat="1" ht="17.100000000000001" customHeight="1">
      <c r="A2006" s="848"/>
      <c r="B2006" s="860"/>
      <c r="C2006" s="2125" t="s">
        <v>555</v>
      </c>
      <c r="D2006" s="2126" t="s">
        <v>556</v>
      </c>
      <c r="E2006" s="2121">
        <v>1300</v>
      </c>
      <c r="F2006" s="2121">
        <v>1000</v>
      </c>
      <c r="G2006" s="2122">
        <f t="shared" si="432"/>
        <v>0.76923076923076927</v>
      </c>
      <c r="I2006" s="825"/>
      <c r="J2006" s="825"/>
    </row>
    <row r="2007" spans="1:10" s="828" customFormat="1" ht="17.100000000000001" customHeight="1">
      <c r="A2007" s="848"/>
      <c r="B2007" s="860"/>
      <c r="C2007" s="2125" t="s">
        <v>557</v>
      </c>
      <c r="D2007" s="2126" t="s">
        <v>558</v>
      </c>
      <c r="E2007" s="2121">
        <v>7100</v>
      </c>
      <c r="F2007" s="2121">
        <v>4700</v>
      </c>
      <c r="G2007" s="2122">
        <f t="shared" si="432"/>
        <v>0.6619718309859155</v>
      </c>
      <c r="I2007" s="825"/>
      <c r="J2007" s="825"/>
    </row>
    <row r="2008" spans="1:10" s="828" customFormat="1" ht="17.100000000000001" customHeight="1">
      <c r="A2008" s="848"/>
      <c r="B2008" s="860"/>
      <c r="C2008" s="2125" t="s">
        <v>559</v>
      </c>
      <c r="D2008" s="2126" t="s">
        <v>560</v>
      </c>
      <c r="E2008" s="2121">
        <v>19181</v>
      </c>
      <c r="F2008" s="2121">
        <v>20157</v>
      </c>
      <c r="G2008" s="2122">
        <f t="shared" si="432"/>
        <v>1.0508836869819091</v>
      </c>
      <c r="I2008" s="825"/>
      <c r="J2008" s="825"/>
    </row>
    <row r="2009" spans="1:10" s="828" customFormat="1" ht="17.100000000000001" customHeight="1">
      <c r="A2009" s="848"/>
      <c r="B2009" s="860"/>
      <c r="C2009" s="2125" t="s">
        <v>561</v>
      </c>
      <c r="D2009" s="2126" t="s">
        <v>562</v>
      </c>
      <c r="E2009" s="2121">
        <v>2760</v>
      </c>
      <c r="F2009" s="2121">
        <v>2674</v>
      </c>
      <c r="G2009" s="2122">
        <f t="shared" si="432"/>
        <v>0.96884057971014492</v>
      </c>
      <c r="I2009" s="825"/>
      <c r="J2009" s="825"/>
    </row>
    <row r="2010" spans="1:10" s="828" customFormat="1" ht="17.100000000000001" customHeight="1">
      <c r="A2010" s="848"/>
      <c r="B2010" s="860"/>
      <c r="C2010" s="2125" t="s">
        <v>569</v>
      </c>
      <c r="D2010" s="2126" t="s">
        <v>570</v>
      </c>
      <c r="E2010" s="2121">
        <v>2500</v>
      </c>
      <c r="F2010" s="2121">
        <v>2350</v>
      </c>
      <c r="G2010" s="2122">
        <f t="shared" si="432"/>
        <v>0.94</v>
      </c>
      <c r="I2010" s="825"/>
      <c r="J2010" s="825"/>
    </row>
    <row r="2011" spans="1:10" s="828" customFormat="1" ht="17.100000000000001" customHeight="1">
      <c r="A2011" s="848"/>
      <c r="B2011" s="860"/>
      <c r="C2011" s="1720"/>
      <c r="D2011" s="1259"/>
      <c r="E2011" s="1260"/>
      <c r="F2011" s="1260"/>
      <c r="G2011" s="2129"/>
      <c r="I2011" s="825"/>
      <c r="J2011" s="825"/>
    </row>
    <row r="2012" spans="1:10" s="828" customFormat="1" ht="17.100000000000001" customHeight="1">
      <c r="A2012" s="848"/>
      <c r="B2012" s="860"/>
      <c r="C2012" s="2789" t="s">
        <v>571</v>
      </c>
      <c r="D2012" s="2789"/>
      <c r="E2012" s="962">
        <f t="shared" ref="E2012:F2012" si="440">E2013</f>
        <v>51730</v>
      </c>
      <c r="F2012" s="962">
        <f t="shared" si="440"/>
        <v>42841</v>
      </c>
      <c r="G2012" s="963">
        <f t="shared" si="432"/>
        <v>0.8281654745795477</v>
      </c>
      <c r="I2012" s="825"/>
      <c r="J2012" s="825"/>
    </row>
    <row r="2013" spans="1:10" s="828" customFormat="1" ht="18" customHeight="1">
      <c r="A2013" s="848"/>
      <c r="B2013" s="860"/>
      <c r="C2013" s="2130" t="s">
        <v>572</v>
      </c>
      <c r="D2013" s="2131" t="s">
        <v>573</v>
      </c>
      <c r="E2013" s="2120">
        <v>51730</v>
      </c>
      <c r="F2013" s="2120">
        <v>42841</v>
      </c>
      <c r="G2013" s="2082">
        <f t="shared" si="432"/>
        <v>0.8281654745795477</v>
      </c>
      <c r="I2013" s="825"/>
      <c r="J2013" s="825"/>
    </row>
    <row r="2014" spans="1:10" s="828" customFormat="1" ht="18" customHeight="1">
      <c r="A2014" s="848"/>
      <c r="B2014" s="860"/>
      <c r="C2014" s="2790"/>
      <c r="D2014" s="2791"/>
      <c r="E2014" s="2120"/>
      <c r="F2014" s="2120"/>
      <c r="G2014" s="2082"/>
      <c r="I2014" s="825"/>
      <c r="J2014" s="825"/>
    </row>
    <row r="2015" spans="1:10" s="828" customFormat="1" ht="18" customHeight="1">
      <c r="A2015" s="848"/>
      <c r="B2015" s="860"/>
      <c r="C2015" s="2792" t="s">
        <v>587</v>
      </c>
      <c r="D2015" s="2793"/>
      <c r="E2015" s="2088">
        <f>E2016+E2017</f>
        <v>0</v>
      </c>
      <c r="F2015" s="2088">
        <f>F2016+F2017</f>
        <v>963700</v>
      </c>
      <c r="G2015" s="2082"/>
      <c r="I2015" s="825"/>
      <c r="J2015" s="825"/>
    </row>
    <row r="2016" spans="1:10" s="828" customFormat="1" ht="18" customHeight="1">
      <c r="A2016" s="848"/>
      <c r="B2016" s="860"/>
      <c r="C2016" s="1945" t="s">
        <v>652</v>
      </c>
      <c r="D2016" s="1946" t="s">
        <v>548</v>
      </c>
      <c r="E2016" s="2088">
        <v>0</v>
      </c>
      <c r="F2016" s="2088">
        <v>819145</v>
      </c>
      <c r="G2016" s="2082"/>
      <c r="I2016" s="825"/>
      <c r="J2016" s="825"/>
    </row>
    <row r="2017" spans="1:10" s="828" customFormat="1" ht="18" customHeight="1" thickBot="1">
      <c r="A2017" s="848"/>
      <c r="B2017" s="860"/>
      <c r="C2017" s="1698" t="s">
        <v>609</v>
      </c>
      <c r="D2017" s="2132" t="s">
        <v>548</v>
      </c>
      <c r="E2017" s="2133">
        <v>0</v>
      </c>
      <c r="F2017" s="2133">
        <v>144555</v>
      </c>
      <c r="G2017" s="2082"/>
      <c r="I2017" s="825"/>
      <c r="J2017" s="825"/>
    </row>
    <row r="2018" spans="1:10" s="828" customFormat="1" ht="17.100000000000001" customHeight="1" thickBot="1">
      <c r="A2018" s="848"/>
      <c r="B2018" s="1072" t="s">
        <v>175</v>
      </c>
      <c r="C2018" s="1073"/>
      <c r="D2018" s="1074" t="s">
        <v>254</v>
      </c>
      <c r="E2018" s="1075">
        <f t="shared" ref="E2018:F2018" si="441">E2019</f>
        <v>17293</v>
      </c>
      <c r="F2018" s="1075">
        <f t="shared" si="441"/>
        <v>5000</v>
      </c>
      <c r="G2018" s="1076">
        <f t="shared" si="432"/>
        <v>0.2891343318105592</v>
      </c>
      <c r="I2018" s="825"/>
      <c r="J2018" s="825"/>
    </row>
    <row r="2019" spans="1:10" s="828" customFormat="1" ht="17.100000000000001" customHeight="1">
      <c r="A2019" s="848"/>
      <c r="B2019" s="860"/>
      <c r="C2019" s="2735" t="s">
        <v>521</v>
      </c>
      <c r="D2019" s="2735"/>
      <c r="E2019" s="854">
        <f>E2020+E2028</f>
        <v>17293</v>
      </c>
      <c r="F2019" s="854">
        <f>F2020+F2028</f>
        <v>5000</v>
      </c>
      <c r="G2019" s="2134">
        <f t="shared" si="432"/>
        <v>0.2891343318105592</v>
      </c>
      <c r="I2019" s="825"/>
      <c r="J2019" s="825"/>
    </row>
    <row r="2020" spans="1:10" s="828" customFormat="1" ht="17.100000000000001" hidden="1" customHeight="1">
      <c r="A2020" s="848"/>
      <c r="B2020" s="860"/>
      <c r="C2020" s="2782" t="s">
        <v>522</v>
      </c>
      <c r="D2020" s="2782"/>
      <c r="E2020" s="2121">
        <f>E2024+E2021</f>
        <v>17293</v>
      </c>
      <c r="F2020" s="2121">
        <f>F2024+F2021</f>
        <v>0</v>
      </c>
      <c r="G2020" s="2122">
        <f t="shared" si="432"/>
        <v>0</v>
      </c>
      <c r="I2020" s="825"/>
      <c r="J2020" s="825"/>
    </row>
    <row r="2021" spans="1:10" s="828" customFormat="1" ht="17.100000000000001" hidden="1" customHeight="1">
      <c r="A2021" s="848"/>
      <c r="B2021" s="860"/>
      <c r="C2021" s="2783" t="s">
        <v>523</v>
      </c>
      <c r="D2021" s="2783"/>
      <c r="E2021" s="2121">
        <f>E2022</f>
        <v>2000</v>
      </c>
      <c r="F2021" s="2121">
        <f>F2022</f>
        <v>0</v>
      </c>
      <c r="G2021" s="2122">
        <f t="shared" si="432"/>
        <v>0</v>
      </c>
      <c r="I2021" s="825"/>
      <c r="J2021" s="825"/>
    </row>
    <row r="2022" spans="1:10" s="828" customFormat="1" ht="17.100000000000001" hidden="1" customHeight="1">
      <c r="A2022" s="848"/>
      <c r="B2022" s="860"/>
      <c r="C2022" s="2125" t="s">
        <v>532</v>
      </c>
      <c r="D2022" s="2126" t="s">
        <v>533</v>
      </c>
      <c r="E2022" s="2121">
        <v>2000</v>
      </c>
      <c r="F2022" s="2135">
        <v>0</v>
      </c>
      <c r="G2022" s="2122">
        <f t="shared" si="432"/>
        <v>0</v>
      </c>
      <c r="I2022" s="825"/>
      <c r="J2022" s="825"/>
    </row>
    <row r="2023" spans="1:10" s="828" customFormat="1" ht="17.100000000000001" hidden="1" customHeight="1">
      <c r="A2023" s="848"/>
      <c r="B2023" s="860"/>
      <c r="C2023" s="2136"/>
      <c r="D2023" s="2136"/>
      <c r="E2023" s="2121"/>
      <c r="F2023" s="2135"/>
      <c r="G2023" s="2122"/>
      <c r="I2023" s="825"/>
      <c r="J2023" s="825"/>
    </row>
    <row r="2024" spans="1:10" s="828" customFormat="1" ht="17.100000000000001" hidden="1" customHeight="1">
      <c r="A2024" s="848"/>
      <c r="B2024" s="860"/>
      <c r="C2024" s="2784" t="s">
        <v>534</v>
      </c>
      <c r="D2024" s="2784"/>
      <c r="E2024" s="2121">
        <f>SUM(E2025:E2026)</f>
        <v>15293</v>
      </c>
      <c r="F2024" s="2121">
        <f>SUM(F2025:F2026)</f>
        <v>0</v>
      </c>
      <c r="G2024" s="2122">
        <f t="shared" si="432"/>
        <v>0</v>
      </c>
      <c r="I2024" s="825"/>
      <c r="J2024" s="825"/>
    </row>
    <row r="2025" spans="1:10" s="828" customFormat="1" ht="17.100000000000001" hidden="1" customHeight="1">
      <c r="A2025" s="848"/>
      <c r="B2025" s="860"/>
      <c r="C2025" s="2137" t="s">
        <v>537</v>
      </c>
      <c r="D2025" s="2138" t="s">
        <v>538</v>
      </c>
      <c r="E2025" s="2139">
        <v>11833</v>
      </c>
      <c r="F2025" s="2140">
        <v>0</v>
      </c>
      <c r="G2025" s="2082">
        <f t="shared" si="432"/>
        <v>0</v>
      </c>
      <c r="I2025" s="825"/>
      <c r="J2025" s="825"/>
    </row>
    <row r="2026" spans="1:10" s="828" customFormat="1" ht="17.100000000000001" hidden="1" customHeight="1">
      <c r="A2026" s="848"/>
      <c r="B2026" s="860"/>
      <c r="C2026" s="2141" t="s">
        <v>547</v>
      </c>
      <c r="D2026" s="1593" t="s">
        <v>548</v>
      </c>
      <c r="E2026" s="2139">
        <v>3460</v>
      </c>
      <c r="F2026" s="2142">
        <v>0</v>
      </c>
      <c r="G2026" s="2082">
        <f t="shared" si="432"/>
        <v>0</v>
      </c>
      <c r="I2026" s="825"/>
      <c r="J2026" s="825"/>
    </row>
    <row r="2027" spans="1:10" s="828" customFormat="1" ht="17.100000000000001" hidden="1" customHeight="1">
      <c r="A2027" s="848"/>
      <c r="B2027" s="860"/>
      <c r="C2027" s="2143"/>
      <c r="D2027" s="1593"/>
      <c r="E2027" s="2139"/>
      <c r="F2027" s="2142"/>
      <c r="G2027" s="2082"/>
      <c r="I2027" s="825"/>
      <c r="J2027" s="825"/>
    </row>
    <row r="2028" spans="1:10" s="828" customFormat="1" ht="17.100000000000001" customHeight="1">
      <c r="A2028" s="848"/>
      <c r="B2028" s="860"/>
      <c r="C2028" s="2785" t="s">
        <v>618</v>
      </c>
      <c r="D2028" s="2786"/>
      <c r="E2028" s="2144">
        <f>E2029</f>
        <v>0</v>
      </c>
      <c r="F2028" s="2144">
        <f>F2029</f>
        <v>5000</v>
      </c>
      <c r="G2028" s="2082"/>
      <c r="I2028" s="825"/>
      <c r="J2028" s="825"/>
    </row>
    <row r="2029" spans="1:10" s="828" customFormat="1" ht="54.75" customHeight="1" thickBot="1">
      <c r="A2029" s="848"/>
      <c r="B2029" s="860"/>
      <c r="C2029" s="2125" t="s">
        <v>633</v>
      </c>
      <c r="D2029" s="2145" t="s">
        <v>634</v>
      </c>
      <c r="E2029" s="2146">
        <v>0</v>
      </c>
      <c r="F2029" s="2146">
        <v>5000</v>
      </c>
      <c r="G2029" s="2082"/>
      <c r="I2029" s="825"/>
      <c r="J2029" s="825"/>
    </row>
    <row r="2030" spans="1:10" s="828" customFormat="1" ht="17.100000000000001" customHeight="1" thickBot="1">
      <c r="A2030" s="842" t="s">
        <v>80</v>
      </c>
      <c r="B2030" s="1205"/>
      <c r="C2030" s="1206"/>
      <c r="D2030" s="1207" t="s">
        <v>969</v>
      </c>
      <c r="E2030" s="1208">
        <f>E2031+E2035+E2054</f>
        <v>3798591</v>
      </c>
      <c r="F2030" s="1208">
        <f t="shared" ref="F2030" si="442">F2031+F2035+F2054</f>
        <v>8121371</v>
      </c>
      <c r="G2030" s="1209">
        <f t="shared" si="432"/>
        <v>2.1379956410153134</v>
      </c>
      <c r="I2030" s="825"/>
      <c r="J2030" s="825"/>
    </row>
    <row r="2031" spans="1:10" s="828" customFormat="1" ht="17.100000000000001" customHeight="1" thickBot="1">
      <c r="A2031" s="1420"/>
      <c r="B2031" s="1072" t="s">
        <v>171</v>
      </c>
      <c r="C2031" s="1073"/>
      <c r="D2031" s="1074" t="s">
        <v>178</v>
      </c>
      <c r="E2031" s="1274">
        <f>E2032</f>
        <v>630000</v>
      </c>
      <c r="F2031" s="1274">
        <f t="shared" ref="F2031:F2033" si="443">F2032</f>
        <v>5000000</v>
      </c>
      <c r="G2031" s="1275">
        <f t="shared" si="432"/>
        <v>7.9365079365079367</v>
      </c>
      <c r="I2031" s="825"/>
      <c r="J2031" s="825"/>
    </row>
    <row r="2032" spans="1:10" s="828" customFormat="1" ht="17.100000000000001" customHeight="1">
      <c r="A2032" s="1420"/>
      <c r="B2032" s="860"/>
      <c r="C2032" s="2735" t="s">
        <v>574</v>
      </c>
      <c r="D2032" s="2736"/>
      <c r="E2032" s="2147">
        <f>E2033</f>
        <v>630000</v>
      </c>
      <c r="F2032" s="2147">
        <f t="shared" si="443"/>
        <v>5000000</v>
      </c>
      <c r="G2032" s="2148">
        <f t="shared" si="432"/>
        <v>7.9365079365079367</v>
      </c>
      <c r="I2032" s="825"/>
      <c r="J2032" s="825"/>
    </row>
    <row r="2033" spans="1:10" s="828" customFormat="1" ht="17.100000000000001" customHeight="1">
      <c r="A2033" s="1420"/>
      <c r="B2033" s="860"/>
      <c r="C2033" s="2737" t="s">
        <v>575</v>
      </c>
      <c r="D2033" s="2738"/>
      <c r="E2033" s="2149">
        <f>E2034</f>
        <v>630000</v>
      </c>
      <c r="F2033" s="2149">
        <f t="shared" si="443"/>
        <v>5000000</v>
      </c>
      <c r="G2033" s="2150">
        <f t="shared" si="432"/>
        <v>7.9365079365079367</v>
      </c>
      <c r="I2033" s="825"/>
      <c r="J2033" s="825"/>
    </row>
    <row r="2034" spans="1:10" s="828" customFormat="1" ht="45.75" customHeight="1" thickBot="1">
      <c r="A2034" s="1420"/>
      <c r="B2034" s="860"/>
      <c r="C2034" s="2151" t="s">
        <v>695</v>
      </c>
      <c r="D2034" s="2152" t="s">
        <v>696</v>
      </c>
      <c r="E2034" s="1371">
        <f>30000+600000</f>
        <v>630000</v>
      </c>
      <c r="F2034" s="2153">
        <v>5000000</v>
      </c>
      <c r="G2034" s="2154">
        <f t="shared" si="432"/>
        <v>7.9365079365079367</v>
      </c>
      <c r="I2034" s="825"/>
      <c r="J2034" s="825"/>
    </row>
    <row r="2035" spans="1:10" s="828" customFormat="1" ht="17.100000000000001" customHeight="1" thickBot="1">
      <c r="A2035" s="2767"/>
      <c r="B2035" s="1072" t="s">
        <v>81</v>
      </c>
      <c r="C2035" s="2155"/>
      <c r="D2035" s="2156" t="s">
        <v>970</v>
      </c>
      <c r="E2035" s="1075">
        <f>E2036</f>
        <v>3138591</v>
      </c>
      <c r="F2035" s="1676">
        <f t="shared" ref="F2035" si="444">F2036</f>
        <v>3121371</v>
      </c>
      <c r="G2035" s="1076">
        <f t="shared" si="432"/>
        <v>0.99451346161382603</v>
      </c>
      <c r="I2035" s="825"/>
      <c r="J2035" s="825"/>
    </row>
    <row r="2036" spans="1:10" s="828" customFormat="1" ht="17.100000000000001" customHeight="1">
      <c r="A2036" s="2767"/>
      <c r="B2036" s="2157"/>
      <c r="C2036" s="2768" t="s">
        <v>521</v>
      </c>
      <c r="D2036" s="2769"/>
      <c r="E2036" s="854">
        <f t="shared" ref="E2036:F2036" si="445">E2037+E2046+E2051</f>
        <v>3138591</v>
      </c>
      <c r="F2036" s="2158">
        <f t="shared" si="445"/>
        <v>3121371</v>
      </c>
      <c r="G2036" s="2134">
        <f t="shared" si="432"/>
        <v>0.99451346161382603</v>
      </c>
      <c r="I2036" s="825"/>
      <c r="J2036" s="825"/>
    </row>
    <row r="2037" spans="1:10" s="828" customFormat="1" ht="17.100000000000001" customHeight="1">
      <c r="A2037" s="2767"/>
      <c r="B2037" s="882"/>
      <c r="C2037" s="2770" t="s">
        <v>522</v>
      </c>
      <c r="D2037" s="2771"/>
      <c r="E2037" s="2121">
        <f t="shared" ref="E2037:F2037" si="446">E2038+E2042</f>
        <v>34000</v>
      </c>
      <c r="F2037" s="2159">
        <f t="shared" si="446"/>
        <v>47000</v>
      </c>
      <c r="G2037" s="2122">
        <f t="shared" si="432"/>
        <v>1.3823529411764706</v>
      </c>
      <c r="I2037" s="825"/>
      <c r="J2037" s="825"/>
    </row>
    <row r="2038" spans="1:10" s="828" customFormat="1" ht="17.100000000000001" customHeight="1">
      <c r="A2038" s="2767"/>
      <c r="B2038" s="882"/>
      <c r="C2038" s="2772" t="s">
        <v>523</v>
      </c>
      <c r="D2038" s="2773"/>
      <c r="E2038" s="2121">
        <f t="shared" ref="E2038:F2038" si="447">SUM(E2039:E2040)</f>
        <v>9000</v>
      </c>
      <c r="F2038" s="2159">
        <f t="shared" si="447"/>
        <v>10000</v>
      </c>
      <c r="G2038" s="2122">
        <f t="shared" si="432"/>
        <v>1.1111111111111112</v>
      </c>
      <c r="I2038" s="825"/>
      <c r="J2038" s="825"/>
    </row>
    <row r="2039" spans="1:10" s="828" customFormat="1" ht="17.100000000000001" customHeight="1">
      <c r="A2039" s="2767"/>
      <c r="B2039" s="882"/>
      <c r="C2039" s="2160" t="s">
        <v>528</v>
      </c>
      <c r="D2039" s="2161" t="s">
        <v>529</v>
      </c>
      <c r="E2039" s="2121">
        <v>8000</v>
      </c>
      <c r="F2039" s="2159">
        <v>8400</v>
      </c>
      <c r="G2039" s="2122">
        <f t="shared" si="432"/>
        <v>1.05</v>
      </c>
      <c r="I2039" s="825"/>
      <c r="J2039" s="825"/>
    </row>
    <row r="2040" spans="1:10" s="828" customFormat="1" ht="17.100000000000001" customHeight="1">
      <c r="A2040" s="2767"/>
      <c r="B2040" s="882"/>
      <c r="C2040" s="2160" t="s">
        <v>530</v>
      </c>
      <c r="D2040" s="2161" t="s">
        <v>531</v>
      </c>
      <c r="E2040" s="2121">
        <v>1000</v>
      </c>
      <c r="F2040" s="2159">
        <v>1600</v>
      </c>
      <c r="G2040" s="2122">
        <f t="shared" si="432"/>
        <v>1.6</v>
      </c>
      <c r="I2040" s="825"/>
      <c r="J2040" s="825"/>
    </row>
    <row r="2041" spans="1:10" s="828" customFormat="1" ht="17.100000000000001" customHeight="1">
      <c r="A2041" s="2767"/>
      <c r="B2041" s="882"/>
      <c r="C2041" s="2162"/>
      <c r="D2041" s="2163"/>
      <c r="E2041" s="1260"/>
      <c r="F2041" s="2163"/>
      <c r="G2041" s="2129"/>
      <c r="I2041" s="825"/>
      <c r="J2041" s="825"/>
    </row>
    <row r="2042" spans="1:10" s="828" customFormat="1" ht="17.100000000000001" customHeight="1">
      <c r="A2042" s="2767"/>
      <c r="B2042" s="882"/>
      <c r="C2042" s="2774" t="s">
        <v>534</v>
      </c>
      <c r="D2042" s="2775"/>
      <c r="E2042" s="1190">
        <f t="shared" ref="E2042:F2042" si="448">SUM(E2043:E2044)</f>
        <v>25000</v>
      </c>
      <c r="F2042" s="1190">
        <f t="shared" si="448"/>
        <v>37000</v>
      </c>
      <c r="G2042" s="2164">
        <f t="shared" si="432"/>
        <v>1.48</v>
      </c>
      <c r="I2042" s="825"/>
      <c r="J2042" s="825"/>
    </row>
    <row r="2043" spans="1:10" s="828" customFormat="1" ht="17.100000000000001" customHeight="1">
      <c r="A2043" s="2767"/>
      <c r="B2043" s="882"/>
      <c r="C2043" s="2160" t="s">
        <v>537</v>
      </c>
      <c r="D2043" s="2161" t="s">
        <v>538</v>
      </c>
      <c r="E2043" s="2121">
        <v>21000</v>
      </c>
      <c r="F2043" s="2159">
        <v>27000</v>
      </c>
      <c r="G2043" s="2122">
        <f t="shared" si="432"/>
        <v>1.2857142857142858</v>
      </c>
      <c r="I2043" s="825"/>
      <c r="J2043" s="825"/>
    </row>
    <row r="2044" spans="1:10" s="828" customFormat="1" ht="17.100000000000001" customHeight="1">
      <c r="A2044" s="2767"/>
      <c r="B2044" s="882"/>
      <c r="C2044" s="2165" t="s">
        <v>547</v>
      </c>
      <c r="D2044" s="2166" t="s">
        <v>548</v>
      </c>
      <c r="E2044" s="2139">
        <v>4000</v>
      </c>
      <c r="F2044" s="2140">
        <v>10000</v>
      </c>
      <c r="G2044" s="2082">
        <f t="shared" si="432"/>
        <v>2.5</v>
      </c>
      <c r="I2044" s="825"/>
      <c r="J2044" s="825"/>
    </row>
    <row r="2045" spans="1:10" s="828" customFormat="1" ht="17.100000000000001" customHeight="1">
      <c r="A2045" s="2767"/>
      <c r="B2045" s="882"/>
      <c r="C2045" s="2167"/>
      <c r="D2045" s="2168"/>
      <c r="E2045" s="2169"/>
      <c r="F2045" s="2168"/>
      <c r="G2045" s="2170"/>
      <c r="I2045" s="825"/>
      <c r="J2045" s="825"/>
    </row>
    <row r="2046" spans="1:10" s="828" customFormat="1" ht="17.100000000000001" customHeight="1">
      <c r="A2046" s="2767"/>
      <c r="B2046" s="882"/>
      <c r="C2046" s="2776" t="s">
        <v>971</v>
      </c>
      <c r="D2046" s="2777"/>
      <c r="E2046" s="2121">
        <f>SUM(E2047:E2049)</f>
        <v>2574591</v>
      </c>
      <c r="F2046" s="2171">
        <f t="shared" ref="F2046" si="449">SUM(F2047:F2049)</f>
        <v>2504371</v>
      </c>
      <c r="G2046" s="2119">
        <f t="shared" si="432"/>
        <v>0.97272576498558416</v>
      </c>
      <c r="I2046" s="825"/>
      <c r="J2046" s="825"/>
    </row>
    <row r="2047" spans="1:10" s="828" customFormat="1" ht="51.75" customHeight="1">
      <c r="A2047" s="2767"/>
      <c r="B2047" s="882"/>
      <c r="C2047" s="2172" t="s">
        <v>633</v>
      </c>
      <c r="D2047" s="2173" t="s">
        <v>634</v>
      </c>
      <c r="E2047" s="2121">
        <f>8500+160000</f>
        <v>168500</v>
      </c>
      <c r="F2047" s="2171">
        <v>180000</v>
      </c>
      <c r="G2047" s="2119">
        <f t="shared" si="432"/>
        <v>1.0682492581602374</v>
      </c>
      <c r="I2047" s="825"/>
      <c r="J2047" s="825"/>
    </row>
    <row r="2048" spans="1:10" s="828" customFormat="1" ht="32.25" hidden="1" customHeight="1">
      <c r="A2048" s="2767"/>
      <c r="B2048" s="882"/>
      <c r="C2048" s="2174" t="s">
        <v>298</v>
      </c>
      <c r="D2048" s="2175" t="s">
        <v>671</v>
      </c>
      <c r="E2048" s="2120">
        <v>20000</v>
      </c>
      <c r="F2048" s="2176">
        <v>0</v>
      </c>
      <c r="G2048" s="2082">
        <f t="shared" si="432"/>
        <v>0</v>
      </c>
      <c r="I2048" s="825"/>
      <c r="J2048" s="825"/>
    </row>
    <row r="2049" spans="1:10" s="828" customFormat="1" ht="30.75" customHeight="1">
      <c r="A2049" s="2767"/>
      <c r="B2049" s="882"/>
      <c r="C2049" s="2174" t="s">
        <v>972</v>
      </c>
      <c r="D2049" s="2175" t="s">
        <v>973</v>
      </c>
      <c r="E2049" s="2120">
        <v>2386091</v>
      </c>
      <c r="F2049" s="2176">
        <v>2324371</v>
      </c>
      <c r="G2049" s="2082">
        <f t="shared" si="432"/>
        <v>0.97413342575786088</v>
      </c>
      <c r="I2049" s="825"/>
      <c r="J2049" s="825"/>
    </row>
    <row r="2050" spans="1:10" s="828" customFormat="1" ht="17.100000000000001" customHeight="1">
      <c r="A2050" s="2767"/>
      <c r="B2050" s="882"/>
      <c r="C2050" s="2778"/>
      <c r="D2050" s="2779"/>
      <c r="E2050" s="2121"/>
      <c r="F2050" s="2171"/>
      <c r="G2050" s="2177"/>
      <c r="I2050" s="825"/>
      <c r="J2050" s="825"/>
    </row>
    <row r="2051" spans="1:10" s="828" customFormat="1" ht="17.100000000000001" customHeight="1">
      <c r="A2051" s="2767"/>
      <c r="B2051" s="882"/>
      <c r="C2051" s="2780" t="s">
        <v>571</v>
      </c>
      <c r="D2051" s="2781"/>
      <c r="E2051" s="2121">
        <f>SUM(E2052:E2053)</f>
        <v>530000</v>
      </c>
      <c r="F2051" s="2121">
        <f t="shared" ref="F2051" si="450">SUM(F2052:F2053)</f>
        <v>570000</v>
      </c>
      <c r="G2051" s="2119">
        <f t="shared" si="432"/>
        <v>1.0754716981132075</v>
      </c>
      <c r="I2051" s="825"/>
      <c r="J2051" s="825"/>
    </row>
    <row r="2052" spans="1:10" s="828" customFormat="1" ht="17.100000000000001" customHeight="1">
      <c r="A2052" s="2767"/>
      <c r="B2052" s="882"/>
      <c r="C2052" s="2174" t="s">
        <v>851</v>
      </c>
      <c r="D2052" s="2175" t="s">
        <v>852</v>
      </c>
      <c r="E2052" s="2120">
        <v>80000</v>
      </c>
      <c r="F2052" s="2176">
        <v>90000</v>
      </c>
      <c r="G2052" s="2082">
        <f t="shared" si="432"/>
        <v>1.125</v>
      </c>
      <c r="I2052" s="825"/>
      <c r="J2052" s="825"/>
    </row>
    <row r="2053" spans="1:10" ht="17.100000000000001" customHeight="1" thickBot="1">
      <c r="A2053" s="2767"/>
      <c r="B2053" s="882"/>
      <c r="C2053" s="2130" t="s">
        <v>858</v>
      </c>
      <c r="D2053" s="2178" t="s">
        <v>859</v>
      </c>
      <c r="E2053" s="2120">
        <v>450000</v>
      </c>
      <c r="F2053" s="2176">
        <v>480000</v>
      </c>
      <c r="G2053" s="2082">
        <f t="shared" si="432"/>
        <v>1.0666666666666667</v>
      </c>
    </row>
    <row r="2054" spans="1:10" ht="17.100000000000001" hidden="1" customHeight="1" thickBot="1">
      <c r="A2054" s="1430"/>
      <c r="B2054" s="1072" t="s">
        <v>974</v>
      </c>
      <c r="C2054" s="2155"/>
      <c r="D2054" s="2156" t="s">
        <v>254</v>
      </c>
      <c r="E2054" s="1274">
        <f>E2055</f>
        <v>30000</v>
      </c>
      <c r="F2054" s="1274">
        <f t="shared" ref="F2054:F2056" si="451">F2055</f>
        <v>0</v>
      </c>
      <c r="G2054" s="1275">
        <f t="shared" si="432"/>
        <v>0</v>
      </c>
    </row>
    <row r="2055" spans="1:10" ht="17.100000000000001" hidden="1" customHeight="1">
      <c r="A2055" s="1430"/>
      <c r="B2055" s="882"/>
      <c r="C2055" s="2735" t="s">
        <v>574</v>
      </c>
      <c r="D2055" s="2736"/>
      <c r="E2055" s="1875">
        <f>E2056</f>
        <v>30000</v>
      </c>
      <c r="F2055" s="1875">
        <f t="shared" si="451"/>
        <v>0</v>
      </c>
      <c r="G2055" s="1876">
        <f t="shared" si="432"/>
        <v>0</v>
      </c>
    </row>
    <row r="2056" spans="1:10" ht="17.100000000000001" hidden="1" customHeight="1">
      <c r="A2056" s="1430"/>
      <c r="B2056" s="882"/>
      <c r="C2056" s="2756" t="s">
        <v>575</v>
      </c>
      <c r="D2056" s="2757"/>
      <c r="E2056" s="2120">
        <f>E2057</f>
        <v>30000</v>
      </c>
      <c r="F2056" s="2120">
        <f t="shared" si="451"/>
        <v>0</v>
      </c>
      <c r="G2056" s="2082">
        <f t="shared" si="432"/>
        <v>0</v>
      </c>
    </row>
    <row r="2057" spans="1:10" ht="41.25" hidden="1" customHeight="1" thickBot="1">
      <c r="A2057" s="848"/>
      <c r="B2057" s="2179"/>
      <c r="C2057" s="2180" t="s">
        <v>695</v>
      </c>
      <c r="D2057" s="2152" t="s">
        <v>696</v>
      </c>
      <c r="E2057" s="970">
        <v>30000</v>
      </c>
      <c r="F2057" s="970">
        <v>0</v>
      </c>
      <c r="G2057" s="2181">
        <f t="shared" si="432"/>
        <v>0</v>
      </c>
    </row>
    <row r="2058" spans="1:10" ht="17.100000000000001" customHeight="1" thickBot="1">
      <c r="A2058" s="2758" t="s">
        <v>975</v>
      </c>
      <c r="B2058" s="2759"/>
      <c r="C2058" s="2759"/>
      <c r="D2058" s="2760"/>
      <c r="E2058" s="1208" t="e">
        <f>E11+E177+E208+E245+E257+E401+E454+E481+E555+E586+E633+E953+E982+E991+E1001+E1292+E1319+E1395+E1528+E1657+E1708+E1769+E1849+E1980+E2030+E946</f>
        <v>#REF!</v>
      </c>
      <c r="F2058" s="1208">
        <f>F11+F177+F208+F245+F257+F401+F454+F481+F555+F586+F633+F953+F982+F991+F1001+F1292+F1319+F1395+F1528+F1657+F1708+F1769+F1849+F1980+F2030+F946</f>
        <v>1311304932</v>
      </c>
      <c r="G2058" s="1209" t="e">
        <f t="shared" ref="G2058:G2073" si="452">F2058/E2058</f>
        <v>#REF!</v>
      </c>
    </row>
    <row r="2059" spans="1:10" ht="12.75" customHeight="1" thickBot="1">
      <c r="A2059" s="2761"/>
      <c r="B2059" s="2762"/>
      <c r="C2059" s="2762"/>
      <c r="D2059" s="2762"/>
      <c r="E2059" s="2182"/>
      <c r="F2059" s="2121"/>
      <c r="G2059" s="2183"/>
    </row>
    <row r="2060" spans="1:10" ht="17.100000000000001" customHeight="1" thickBot="1">
      <c r="A2060" s="2763" t="s">
        <v>2</v>
      </c>
      <c r="B2060" s="2764"/>
      <c r="C2060" s="2764"/>
      <c r="D2060" s="2764"/>
      <c r="E2060" s="2184"/>
      <c r="F2060" s="2184"/>
      <c r="G2060" s="2185"/>
    </row>
    <row r="2061" spans="1:10" ht="17.25" customHeight="1" thickBot="1">
      <c r="A2061" s="2765" t="s">
        <v>976</v>
      </c>
      <c r="B2061" s="2766"/>
      <c r="C2061" s="2766"/>
      <c r="D2061" s="2766"/>
      <c r="E2061" s="2186">
        <f>E2062+E2065+E2066+E2067+E2068+E2069</f>
        <v>676808849</v>
      </c>
      <c r="F2061" s="2186">
        <f>F2062+F2065+F2066+F2067+F2068+F2069</f>
        <v>636427462</v>
      </c>
      <c r="G2061" s="2187">
        <f t="shared" si="452"/>
        <v>0.94033561018053413</v>
      </c>
      <c r="I2061" s="2188"/>
      <c r="J2061" s="2188"/>
    </row>
    <row r="2062" spans="1:10" ht="17.100000000000001" customHeight="1">
      <c r="A2062" s="2748" t="s">
        <v>977</v>
      </c>
      <c r="B2062" s="2749"/>
      <c r="C2062" s="2749"/>
      <c r="D2062" s="2750"/>
      <c r="E2062" s="2189">
        <f>E2063+E2064</f>
        <v>250559618</v>
      </c>
      <c r="F2062" s="2189">
        <f t="shared" ref="F2062" si="453">F2063+F2064</f>
        <v>259730746</v>
      </c>
      <c r="G2062" s="2129">
        <f t="shared" si="452"/>
        <v>1.0366025781536752</v>
      </c>
      <c r="I2062" s="2188"/>
    </row>
    <row r="2063" spans="1:10" ht="15.75" customHeight="1">
      <c r="A2063" s="2754" t="s">
        <v>978</v>
      </c>
      <c r="B2063" s="2752"/>
      <c r="C2063" s="2752"/>
      <c r="D2063" s="2753"/>
      <c r="E2063" s="2190">
        <f>E15+E51+E76+E249+E313+E485+E520+E637+E650+E668+E760+E771+E849+E868+E1009+E1035+E1057+E1074+E1128+E1193+E1260+E1390+E1407+E1542+E1661+E1734+E1802+E1937+E1988+E2038+E1244+E159+E387+E433+E834+E2021+E1773+E1816+E1826</f>
        <v>129552103</v>
      </c>
      <c r="F2063" s="2190">
        <f>F15+F51+F76+F249+F313+F485+F520+F637+F650+F668+F760+F771+F849+F868+F1009+F1035+F1057+F1074+F1128+F1193+F1260+F1390+F1407+F1542+F1661+F1734+F1802+F1937+F1988+F2038+F1244+F159+F387+F433+F834+F2021+F1773+F1816+F1826</f>
        <v>131441790</v>
      </c>
      <c r="G2063" s="2170">
        <f t="shared" si="452"/>
        <v>1.0145863089540121</v>
      </c>
      <c r="I2063" s="2188"/>
      <c r="J2063" s="2188"/>
    </row>
    <row r="2064" spans="1:10" ht="15.75" customHeight="1">
      <c r="A2064" s="2751" t="s">
        <v>979</v>
      </c>
      <c r="B2064" s="2752"/>
      <c r="C2064" s="2752"/>
      <c r="D2064" s="2753"/>
      <c r="E2064" s="2190">
        <f>E22+E58+E82+E139+E165+E255+E261+E308+E320+E393+E405+E440+E459+E492+E527+E553+E559+E644+E653+E675+E765+E774+E855+E872+E995+E1016+E1041+E1063+E1081+E1135+E1200+E1266+E1296+E1308+E1361+E1377+E1385+E1393+E1414+E1549+E1667+E1712+E1740+E1762+E1784+E1807+E1821+E1831+E1837+E1942+E1995+E2024+E2042+E1250+E283+E837+E1927+E950+E1323+E1793+E1053</f>
        <v>121007515</v>
      </c>
      <c r="F2064" s="2190">
        <f>F22+F58+F82+F139+F165+F255+F261+F308+F320+F393+F405+F440+F459+F492+F527+F553+F559+F644+F653+F675+F765+F774+F855+F872+F995+F1016+F1041+F1063+F1081+F1135+F1200+F1266+F1296+F1308+F1361+F1377+F1385+F1393+F1414+F1549+F1667+F1712+F1740+F1762+F1784+F1807+F1821+F1831+F1837+F1942+F1995+F2024+F2042+F1250+F283+F837+F1927+F950+F1323+F1793+F1053</f>
        <v>128288956</v>
      </c>
      <c r="G2064" s="2170">
        <f t="shared" si="452"/>
        <v>1.0601734611276001</v>
      </c>
    </row>
    <row r="2065" spans="1:10" ht="17.100000000000001" customHeight="1">
      <c r="A2065" s="2739" t="s">
        <v>980</v>
      </c>
      <c r="B2065" s="2740"/>
      <c r="C2065" s="2740"/>
      <c r="D2065" s="2741"/>
      <c r="E2065" s="2190">
        <f>E143+E175+E211+E266+E303+E370+E408+E783+E980+E1271+E1326+E1340+E1364+E1372+E1380+E1398+E1437+E1462+E1531+E1626+E1717+E1765+E1788+E1852+E1861+E1870+E1875+E1892+E1898+E1907+E1916+E1930+E2046+E449+E470+E590+E972+E1311+E1352+E1780+E1844+E1946+E2028</f>
        <v>250121407</v>
      </c>
      <c r="F2065" s="2190">
        <f>F143+F175+F211+F266+F303+F370+F408+F783+F980+F1271+F1326+F1340+F1364+F1372+F1380+F1398+F1437+F1462+F1531+F1626+F1717+F1765+F1788+F1852+F1861+F1870+F1875+F1892+F1898+F1907+F1916+F1930+F2046+F449+F470+F590+F972+F1311+F1352+F1780+F1844+F1946+F2028</f>
        <v>233433117</v>
      </c>
      <c r="G2065" s="2170">
        <f t="shared" si="452"/>
        <v>0.93327924146852415</v>
      </c>
    </row>
    <row r="2066" spans="1:10" ht="17.100000000000001" customHeight="1">
      <c r="A2066" s="2739" t="s">
        <v>981</v>
      </c>
      <c r="B2066" s="2740"/>
      <c r="C2066" s="2740"/>
      <c r="D2066" s="2741"/>
      <c r="E2066" s="2190">
        <f>E43+E71+E94+E345+E512+E542+E660+E699+E888+E1030+E1048+E1070+E1099+E1148+E1220+E1279+E1280+E1281+E1304+E1440+E1571+E1572+E1677+E1758+E1857+E1858+E2013+E2052+E2053+E863</f>
        <v>3431666</v>
      </c>
      <c r="F2066" s="2190">
        <f>F43+F71+F94+F345+F512+F542+F660+F699+F888+F1030+F1048+F1070+F1099+F1148+F1220+F1279+F1280+F1281+F1304+F1440+F1571+F1572+F1677+F1758+F1857+F1858+F2013+F2052+F2053+F863</f>
        <v>2975321</v>
      </c>
      <c r="G2066" s="2170">
        <f t="shared" si="452"/>
        <v>0.86701940107224884</v>
      </c>
    </row>
    <row r="2067" spans="1:10" ht="15.75" customHeight="1">
      <c r="A2067" s="2755" t="s">
        <v>982</v>
      </c>
      <c r="B2067" s="2740"/>
      <c r="C2067" s="2740"/>
      <c r="D2067" s="2741"/>
      <c r="E2067" s="2190">
        <f>E105+E180+E217+E593+E701+E787+E890+E1103+E1150+E1222+E1469+E1574+E1680+E1720+E1950+E544+E1300+E1633+E1283+E2015+E411</f>
        <v>155567702</v>
      </c>
      <c r="F2067" s="2190">
        <f>F105+F180+F217+F593+F701+F787+F890+F1103+F1150+F1222+F1469+F1574+F1680+F1720+F1950+F544+F1300+F1633+F1283+F2015+F411</f>
        <v>119941412</v>
      </c>
      <c r="G2067" s="2170">
        <f t="shared" si="452"/>
        <v>0.77099173194703363</v>
      </c>
    </row>
    <row r="2068" spans="1:10" ht="17.100000000000001" customHeight="1">
      <c r="A2068" s="2739" t="s">
        <v>983</v>
      </c>
      <c r="B2068" s="2740"/>
      <c r="C2068" s="2740"/>
      <c r="D2068" s="2741"/>
      <c r="E2068" s="2190">
        <f>E990</f>
        <v>6128456</v>
      </c>
      <c r="F2068" s="2190">
        <f>F990</f>
        <v>11346866</v>
      </c>
      <c r="G2068" s="2170">
        <f t="shared" si="452"/>
        <v>1.8515048488558945</v>
      </c>
    </row>
    <row r="2069" spans="1:10" s="828" customFormat="1" ht="17.100000000000001" customHeight="1" thickBot="1">
      <c r="A2069" s="2742" t="s">
        <v>984</v>
      </c>
      <c r="B2069" s="2743"/>
      <c r="C2069" s="2743"/>
      <c r="D2069" s="2744"/>
      <c r="E2069" s="2191">
        <f>E986</f>
        <v>11000000</v>
      </c>
      <c r="F2069" s="2191">
        <f>F986</f>
        <v>9000000</v>
      </c>
      <c r="G2069" s="2192">
        <f t="shared" si="452"/>
        <v>0.81818181818181823</v>
      </c>
      <c r="I2069" s="825"/>
      <c r="J2069" s="825"/>
    </row>
    <row r="2070" spans="1:10" s="828" customFormat="1" ht="15.75" customHeight="1" thickBot="1">
      <c r="A2070" s="2745" t="s">
        <v>985</v>
      </c>
      <c r="B2070" s="2746"/>
      <c r="C2070" s="2746"/>
      <c r="D2070" s="2747"/>
      <c r="E2070" s="2186" t="e">
        <f>E2071+E2073+E2074</f>
        <v>#REF!</v>
      </c>
      <c r="F2070" s="2186">
        <f t="shared" ref="F2070" si="454">F2071+F2073+F2074</f>
        <v>674877470</v>
      </c>
      <c r="G2070" s="2187" t="e">
        <f t="shared" si="452"/>
        <v>#REF!</v>
      </c>
      <c r="I2070" s="825"/>
      <c r="J2070" s="825"/>
    </row>
    <row r="2071" spans="1:10" s="828" customFormat="1" ht="17.100000000000001" customHeight="1">
      <c r="A2071" s="2748" t="s">
        <v>986</v>
      </c>
      <c r="B2071" s="2749"/>
      <c r="C2071" s="2749"/>
      <c r="D2071" s="2750"/>
      <c r="E2071" s="2189" t="e">
        <f>E45+E96+E147+E229+E270+E347+E373+E572+E742+E818+E932+E955+E963+E967+E998+E1121+E1182+E1287+E1330+E1343+E1347+E1355+E1453+E1523+E1614+E1866+E1880+E1902+E1921+E1970+E1811+E629+E1912+#REF!+E1229+E515+E286+E663+E154+E379+E382+E400+E427+E453+E474+E480+E844+E975+E1005+E1402+E1538+E1654+E1706+E1797+E2033+E2056+E1847+E1368+E1459+E1316</f>
        <v>#REF!</v>
      </c>
      <c r="F2071" s="2189">
        <f>F45+F96+F147+F229+F270+F347+F373+F572+F742+F818+F932+F955+F963+F967+F998+F1121+F1182+F1287+F1330+F1343+F1347+F1355+F1453+F1523+F1614+F1866+F1880+F1902+F1921+F1970+F1811+F629+F1912+F1229+F515+F286+F663+F154+F379+F382+F400+F427+F453+F474+F480+F844+F975+F1005+F1402+F1538+F1654+F1706+F1797+F2033+F2056+F1847+F1368+F1459+F1316+F1983</f>
        <v>666652470</v>
      </c>
      <c r="G2071" s="2129" t="e">
        <f t="shared" si="452"/>
        <v>#REF!</v>
      </c>
      <c r="I2071" s="825"/>
      <c r="J2071" s="825"/>
    </row>
    <row r="2072" spans="1:10" s="828" customFormat="1" ht="18" customHeight="1">
      <c r="A2072" s="2751" t="s">
        <v>987</v>
      </c>
      <c r="B2072" s="2752"/>
      <c r="C2072" s="2752"/>
      <c r="D2072" s="2753"/>
      <c r="E2072" s="2190">
        <f>E101+E241+E276+E359+E580+E751+E826+E943+E1621+E1977+E631+E1187+E294+E1236+E1887</f>
        <v>678561991</v>
      </c>
      <c r="F2072" s="2190">
        <f>F101+F241+F276+F359+F580+F751+F826+F943+F1621+F1977+F631+F1187+F294+F1236+F1887</f>
        <v>495918301</v>
      </c>
      <c r="G2072" s="2170">
        <f t="shared" si="452"/>
        <v>0.73083713437760178</v>
      </c>
      <c r="I2072" s="825"/>
      <c r="J2072" s="825"/>
    </row>
    <row r="2073" spans="1:10" s="828" customFormat="1" ht="17.100000000000001" customHeight="1">
      <c r="A2073" s="2739" t="s">
        <v>988</v>
      </c>
      <c r="B2073" s="2740"/>
      <c r="C2073" s="2740"/>
      <c r="D2073" s="2741"/>
      <c r="E2073" s="2190">
        <f>E940+E1337</f>
        <v>11000052</v>
      </c>
      <c r="F2073" s="2190">
        <f>F940+F1337</f>
        <v>8225000</v>
      </c>
      <c r="G2073" s="2170">
        <f t="shared" si="452"/>
        <v>0.74772373803323844</v>
      </c>
      <c r="I2073" s="825"/>
      <c r="J2073" s="825"/>
    </row>
    <row r="2074" spans="1:10" s="828" customFormat="1" ht="17.100000000000001" customHeight="1" thickBot="1">
      <c r="A2074" s="2732" t="s">
        <v>989</v>
      </c>
      <c r="B2074" s="2733"/>
      <c r="C2074" s="2733"/>
      <c r="D2074" s="2734"/>
      <c r="E2074" s="2193">
        <v>0</v>
      </c>
      <c r="F2074" s="2193">
        <v>0</v>
      </c>
      <c r="G2074" s="2194"/>
      <c r="I2074" s="825"/>
      <c r="J2074" s="825"/>
    </row>
    <row r="2075" spans="1:10" s="828" customFormat="1" ht="17.100000000000001" customHeight="1">
      <c r="A2075" s="2195"/>
      <c r="B2075" s="2195"/>
      <c r="C2075" s="2195"/>
      <c r="D2075" s="2195"/>
      <c r="E2075" s="2196" t="e">
        <f>E2061+E2070</f>
        <v>#REF!</v>
      </c>
      <c r="F2075" s="2196">
        <f>F2061+F2070</f>
        <v>1311304932</v>
      </c>
      <c r="G2075" s="2197"/>
      <c r="I2075" s="825"/>
      <c r="J2075" s="825"/>
    </row>
    <row r="2076" spans="1:10" s="828" customFormat="1" ht="17.100000000000001" customHeight="1">
      <c r="A2076" s="2195"/>
      <c r="B2076" s="2195"/>
      <c r="C2076" s="2195"/>
      <c r="D2076" s="2195"/>
      <c r="E2076" s="2195"/>
      <c r="F2076" s="2195"/>
      <c r="G2076" s="2197"/>
      <c r="I2076" s="825"/>
      <c r="J2076" s="825"/>
    </row>
    <row r="2077" spans="1:10" s="828" customFormat="1" ht="17.100000000000001" customHeight="1">
      <c r="A2077" s="2195"/>
      <c r="B2077" s="2195"/>
      <c r="C2077" s="2195"/>
      <c r="D2077" s="2195"/>
      <c r="E2077" s="2195"/>
      <c r="F2077" s="2195"/>
      <c r="G2077" s="2197"/>
      <c r="I2077" s="825"/>
      <c r="J2077" s="825"/>
    </row>
    <row r="2078" spans="1:10" s="828" customFormat="1" ht="17.100000000000001" customHeight="1">
      <c r="A2078" s="2195"/>
      <c r="B2078" s="2195"/>
      <c r="C2078" s="2195"/>
      <c r="D2078" s="2195"/>
      <c r="E2078" s="2195"/>
      <c r="F2078" s="2195"/>
      <c r="G2078" s="2197"/>
      <c r="I2078" s="825"/>
      <c r="J2078" s="825"/>
    </row>
    <row r="2079" spans="1:10" s="828" customFormat="1" ht="17.100000000000001" customHeight="1">
      <c r="A2079" s="2195"/>
      <c r="B2079" s="2195"/>
      <c r="C2079" s="2195"/>
      <c r="D2079" s="2195"/>
      <c r="E2079" s="2195"/>
      <c r="F2079" s="2195"/>
      <c r="G2079" s="2197"/>
      <c r="I2079" s="825"/>
      <c r="J2079" s="825"/>
    </row>
    <row r="2080" spans="1:10" s="828" customFormat="1" ht="17.100000000000001" customHeight="1">
      <c r="A2080" s="2195"/>
      <c r="B2080" s="2195"/>
      <c r="C2080" s="2195"/>
      <c r="D2080" s="2195"/>
      <c r="E2080" s="2195"/>
      <c r="F2080" s="2195"/>
      <c r="G2080" s="2197"/>
      <c r="I2080" s="825"/>
      <c r="J2080" s="825"/>
    </row>
    <row r="2081" spans="1:10" s="828" customFormat="1" ht="17.100000000000001" customHeight="1">
      <c r="A2081" s="2195"/>
      <c r="B2081" s="2195"/>
      <c r="C2081" s="2195"/>
      <c r="D2081" s="2195"/>
      <c r="E2081" s="2195"/>
      <c r="F2081" s="2195"/>
      <c r="G2081" s="2197"/>
      <c r="I2081" s="825"/>
      <c r="J2081" s="825"/>
    </row>
    <row r="2082" spans="1:10" s="828" customFormat="1">
      <c r="A2082" s="2195"/>
      <c r="B2082" s="2195"/>
      <c r="C2082" s="2195"/>
      <c r="D2082" s="2195"/>
      <c r="E2082" s="2195"/>
      <c r="F2082" s="2195"/>
      <c r="G2082" s="2197"/>
      <c r="I2082" s="825"/>
      <c r="J2082" s="825"/>
    </row>
    <row r="2083" spans="1:10" s="828" customFormat="1">
      <c r="A2083" s="2195"/>
      <c r="B2083" s="2195"/>
      <c r="C2083" s="2195"/>
      <c r="D2083" s="2195"/>
      <c r="E2083" s="2195"/>
      <c r="F2083" s="2195"/>
      <c r="G2083" s="2197"/>
      <c r="I2083" s="825"/>
      <c r="J2083" s="825"/>
    </row>
    <row r="2084" spans="1:10" s="828" customFormat="1">
      <c r="A2084" s="825"/>
      <c r="B2084" s="825"/>
      <c r="C2084" s="2188"/>
      <c r="D2084" s="825"/>
      <c r="E2084" s="825"/>
      <c r="F2084" s="825"/>
      <c r="G2084" s="827"/>
      <c r="I2084" s="825"/>
      <c r="J2084" s="825"/>
    </row>
    <row r="2086" spans="1:10">
      <c r="C2086" s="2188"/>
    </row>
    <row r="2088" spans="1:10">
      <c r="C2088" s="2188"/>
    </row>
    <row r="2090" spans="1:10">
      <c r="C2090" s="2188"/>
    </row>
    <row r="2092" spans="1:10">
      <c r="C2092" s="2188"/>
    </row>
    <row r="2094" spans="1:10">
      <c r="C2094" s="2188"/>
    </row>
    <row r="2096" spans="1:10">
      <c r="C2096" s="2188"/>
    </row>
    <row r="2098" spans="3:3">
      <c r="C2098" s="2188"/>
    </row>
    <row r="2100" spans="3:3">
      <c r="C2100" s="2188"/>
    </row>
  </sheetData>
  <mergeCells count="611">
    <mergeCell ref="C22:D22"/>
    <mergeCell ref="C41:D41"/>
    <mergeCell ref="C42:D42"/>
    <mergeCell ref="C44:D44"/>
    <mergeCell ref="C45:D45"/>
    <mergeCell ref="C46:D46"/>
    <mergeCell ref="A4:G7"/>
    <mergeCell ref="A8:D8"/>
    <mergeCell ref="B13:B15"/>
    <mergeCell ref="C13:D13"/>
    <mergeCell ref="C14:D14"/>
    <mergeCell ref="C15:D15"/>
    <mergeCell ref="C92:D92"/>
    <mergeCell ref="C93:D93"/>
    <mergeCell ref="C96:D96"/>
    <mergeCell ref="C97:D97"/>
    <mergeCell ref="C101:D101"/>
    <mergeCell ref="B104:B135"/>
    <mergeCell ref="C104:D104"/>
    <mergeCell ref="C105:D105"/>
    <mergeCell ref="C49:D49"/>
    <mergeCell ref="C50:D50"/>
    <mergeCell ref="C51:D51"/>
    <mergeCell ref="C58:D58"/>
    <mergeCell ref="C71:D71"/>
    <mergeCell ref="B74:B102"/>
    <mergeCell ref="C74:D74"/>
    <mergeCell ref="C75:D75"/>
    <mergeCell ref="C76:D76"/>
    <mergeCell ref="C82:D82"/>
    <mergeCell ref="C137:D137"/>
    <mergeCell ref="C138:D138"/>
    <mergeCell ref="C139:D139"/>
    <mergeCell ref="C142:D142"/>
    <mergeCell ref="C143:D143"/>
    <mergeCell ref="B146:B151"/>
    <mergeCell ref="C146:D146"/>
    <mergeCell ref="C147:D147"/>
    <mergeCell ref="C148:D148"/>
    <mergeCell ref="C165:D165"/>
    <mergeCell ref="C175:D175"/>
    <mergeCell ref="B179:B183"/>
    <mergeCell ref="C179:D179"/>
    <mergeCell ref="C180:D180"/>
    <mergeCell ref="B210:B213"/>
    <mergeCell ref="C210:D210"/>
    <mergeCell ref="C211:D211"/>
    <mergeCell ref="C153:D153"/>
    <mergeCell ref="C154:D154"/>
    <mergeCell ref="C157:D157"/>
    <mergeCell ref="C158:D158"/>
    <mergeCell ref="C159:D159"/>
    <mergeCell ref="C164:D164"/>
    <mergeCell ref="C241:D241"/>
    <mergeCell ref="B247:B253"/>
    <mergeCell ref="C247:D247"/>
    <mergeCell ref="C248:D248"/>
    <mergeCell ref="C249:D249"/>
    <mergeCell ref="C255:D255"/>
    <mergeCell ref="C217:D217"/>
    <mergeCell ref="C228:D228"/>
    <mergeCell ref="C229:D229"/>
    <mergeCell ref="C230:D230"/>
    <mergeCell ref="B236:B238"/>
    <mergeCell ref="C236:D236"/>
    <mergeCell ref="C237:D237"/>
    <mergeCell ref="C281:D281"/>
    <mergeCell ref="C282:D282"/>
    <mergeCell ref="C283:D283"/>
    <mergeCell ref="C285:D285"/>
    <mergeCell ref="C286:D286"/>
    <mergeCell ref="C294:D294"/>
    <mergeCell ref="B259:B279"/>
    <mergeCell ref="C259:D259"/>
    <mergeCell ref="C260:D260"/>
    <mergeCell ref="C261:D261"/>
    <mergeCell ref="C266:D266"/>
    <mergeCell ref="C270:D270"/>
    <mergeCell ref="C271:D271"/>
    <mergeCell ref="C276:D276"/>
    <mergeCell ref="C311:D311"/>
    <mergeCell ref="C312:D312"/>
    <mergeCell ref="C313:D313"/>
    <mergeCell ref="C320:D320"/>
    <mergeCell ref="C344:D344"/>
    <mergeCell ref="C347:D347"/>
    <mergeCell ref="B302:B304"/>
    <mergeCell ref="C302:D302"/>
    <mergeCell ref="C303:D303"/>
    <mergeCell ref="B306:B309"/>
    <mergeCell ref="C306:D306"/>
    <mergeCell ref="C307:D307"/>
    <mergeCell ref="C308:D308"/>
    <mergeCell ref="B385:B395"/>
    <mergeCell ref="C385:D385"/>
    <mergeCell ref="C386:D386"/>
    <mergeCell ref="C387:D387"/>
    <mergeCell ref="C393:D393"/>
    <mergeCell ref="C348:D348"/>
    <mergeCell ref="C359:D359"/>
    <mergeCell ref="C369:D369"/>
    <mergeCell ref="C370:D370"/>
    <mergeCell ref="C373:D373"/>
    <mergeCell ref="C374:D374"/>
    <mergeCell ref="C398:D398"/>
    <mergeCell ref="C399:D399"/>
    <mergeCell ref="C403:D403"/>
    <mergeCell ref="C404:D404"/>
    <mergeCell ref="C405:D405"/>
    <mergeCell ref="C408:D408"/>
    <mergeCell ref="C377:D377"/>
    <mergeCell ref="C378:D378"/>
    <mergeCell ref="C381:D381"/>
    <mergeCell ref="C382:D382"/>
    <mergeCell ref="C411:D411"/>
    <mergeCell ref="C426:D426"/>
    <mergeCell ref="C427:D427"/>
    <mergeCell ref="C428:D428"/>
    <mergeCell ref="B431:B442"/>
    <mergeCell ref="C431:D431"/>
    <mergeCell ref="C432:D432"/>
    <mergeCell ref="C433:D433"/>
    <mergeCell ref="C439:D439"/>
    <mergeCell ref="C440:D440"/>
    <mergeCell ref="C470:D470"/>
    <mergeCell ref="C473:D473"/>
    <mergeCell ref="C474:D474"/>
    <mergeCell ref="C478:D478"/>
    <mergeCell ref="C479:D479"/>
    <mergeCell ref="C483:D483"/>
    <mergeCell ref="C448:D448"/>
    <mergeCell ref="C451:D451"/>
    <mergeCell ref="C452:D452"/>
    <mergeCell ref="C456:D456"/>
    <mergeCell ref="C457:D457"/>
    <mergeCell ref="C459:D459"/>
    <mergeCell ref="C515:D515"/>
    <mergeCell ref="C518:D518"/>
    <mergeCell ref="C519:D519"/>
    <mergeCell ref="C520:D520"/>
    <mergeCell ref="C527:D527"/>
    <mergeCell ref="C541:D541"/>
    <mergeCell ref="C484:D484"/>
    <mergeCell ref="C485:D485"/>
    <mergeCell ref="C492:D492"/>
    <mergeCell ref="C511:D511"/>
    <mergeCell ref="C513:D513"/>
    <mergeCell ref="C514:D514"/>
    <mergeCell ref="C544:D544"/>
    <mergeCell ref="B551:B554"/>
    <mergeCell ref="C551:D551"/>
    <mergeCell ref="C552:D552"/>
    <mergeCell ref="C553:D553"/>
    <mergeCell ref="B557:B565"/>
    <mergeCell ref="C557:D557"/>
    <mergeCell ref="C558:D558"/>
    <mergeCell ref="C559:D559"/>
    <mergeCell ref="B592:B593"/>
    <mergeCell ref="C592:D592"/>
    <mergeCell ref="C593:D593"/>
    <mergeCell ref="C626:D626"/>
    <mergeCell ref="C627:D627"/>
    <mergeCell ref="C628:D628"/>
    <mergeCell ref="C571:D571"/>
    <mergeCell ref="C572:D572"/>
    <mergeCell ref="C579:D579"/>
    <mergeCell ref="C580:D580"/>
    <mergeCell ref="C588:D588"/>
    <mergeCell ref="C589:D589"/>
    <mergeCell ref="C648:D648"/>
    <mergeCell ref="C649:D649"/>
    <mergeCell ref="C650:D650"/>
    <mergeCell ref="C653:D653"/>
    <mergeCell ref="C659:D659"/>
    <mergeCell ref="C661:D661"/>
    <mergeCell ref="C631:D631"/>
    <mergeCell ref="B635:B639"/>
    <mergeCell ref="C635:D635"/>
    <mergeCell ref="C636:D636"/>
    <mergeCell ref="C637:D637"/>
    <mergeCell ref="C644:D644"/>
    <mergeCell ref="C698:D698"/>
    <mergeCell ref="C701:D701"/>
    <mergeCell ref="C742:D742"/>
    <mergeCell ref="C743:D743"/>
    <mergeCell ref="B747:B756"/>
    <mergeCell ref="C751:D751"/>
    <mergeCell ref="C662:D662"/>
    <mergeCell ref="C663:D663"/>
    <mergeCell ref="C666:D666"/>
    <mergeCell ref="C667:D667"/>
    <mergeCell ref="C668:D668"/>
    <mergeCell ref="C675:D675"/>
    <mergeCell ref="B758:B762"/>
    <mergeCell ref="C758:D758"/>
    <mergeCell ref="C759:D759"/>
    <mergeCell ref="C760:D760"/>
    <mergeCell ref="C765:D765"/>
    <mergeCell ref="B769:B820"/>
    <mergeCell ref="C769:D769"/>
    <mergeCell ref="C770:D770"/>
    <mergeCell ref="C771:D771"/>
    <mergeCell ref="C774:D774"/>
    <mergeCell ref="C843:D843"/>
    <mergeCell ref="C844:D844"/>
    <mergeCell ref="B847:B861"/>
    <mergeCell ref="C847:D847"/>
    <mergeCell ref="C848:D848"/>
    <mergeCell ref="C849:D849"/>
    <mergeCell ref="C855:D855"/>
    <mergeCell ref="C783:D783"/>
    <mergeCell ref="C787:D787"/>
    <mergeCell ref="C818:D818"/>
    <mergeCell ref="C819:D819"/>
    <mergeCell ref="C826:D826"/>
    <mergeCell ref="B832:B841"/>
    <mergeCell ref="C832:D832"/>
    <mergeCell ref="C833:D833"/>
    <mergeCell ref="C834:D834"/>
    <mergeCell ref="C837:D837"/>
    <mergeCell ref="C890:D890"/>
    <mergeCell ref="A929:A943"/>
    <mergeCell ref="C931:D931"/>
    <mergeCell ref="C932:D932"/>
    <mergeCell ref="C939:D939"/>
    <mergeCell ref="C940:D940"/>
    <mergeCell ref="C943:D943"/>
    <mergeCell ref="C863:D863"/>
    <mergeCell ref="A865:A866"/>
    <mergeCell ref="B866:B934"/>
    <mergeCell ref="C866:D866"/>
    <mergeCell ref="C867:D867"/>
    <mergeCell ref="C868:D868"/>
    <mergeCell ref="C872:D872"/>
    <mergeCell ref="C883:D883"/>
    <mergeCell ref="C887:D887"/>
    <mergeCell ref="C889:D889"/>
    <mergeCell ref="B959:B965"/>
    <mergeCell ref="C959:D959"/>
    <mergeCell ref="C960:D960"/>
    <mergeCell ref="C962:D962"/>
    <mergeCell ref="C963:D963"/>
    <mergeCell ref="C964:D964"/>
    <mergeCell ref="C948:D948"/>
    <mergeCell ref="C949:D949"/>
    <mergeCell ref="C950:D950"/>
    <mergeCell ref="B955:B957"/>
    <mergeCell ref="C955:D955"/>
    <mergeCell ref="C956:D956"/>
    <mergeCell ref="C975:D975"/>
    <mergeCell ref="C976:D976"/>
    <mergeCell ref="B979:B981"/>
    <mergeCell ref="C979:D979"/>
    <mergeCell ref="C980:D980"/>
    <mergeCell ref="B984:B986"/>
    <mergeCell ref="C984:D984"/>
    <mergeCell ref="C985:D985"/>
    <mergeCell ref="B967:B969"/>
    <mergeCell ref="C967:D967"/>
    <mergeCell ref="C968:D968"/>
    <mergeCell ref="C971:D971"/>
    <mergeCell ref="C972:D972"/>
    <mergeCell ref="C974:D974"/>
    <mergeCell ref="B1003:B1005"/>
    <mergeCell ref="C1003:D1003"/>
    <mergeCell ref="C1004:D1004"/>
    <mergeCell ref="C1007:D1007"/>
    <mergeCell ref="C1008:D1008"/>
    <mergeCell ref="C1009:D1009"/>
    <mergeCell ref="B988:B990"/>
    <mergeCell ref="C988:D988"/>
    <mergeCell ref="C989:D989"/>
    <mergeCell ref="B993:B1000"/>
    <mergeCell ref="C993:D993"/>
    <mergeCell ref="C994:D994"/>
    <mergeCell ref="C995:D995"/>
    <mergeCell ref="C998:D998"/>
    <mergeCell ref="C999:D999"/>
    <mergeCell ref="C1016:D1016"/>
    <mergeCell ref="B1027:B1030"/>
    <mergeCell ref="C1029:D1029"/>
    <mergeCell ref="B1033:B1048"/>
    <mergeCell ref="C1033:D1033"/>
    <mergeCell ref="C1034:D1034"/>
    <mergeCell ref="C1035:D1035"/>
    <mergeCell ref="C1041:D1041"/>
    <mergeCell ref="C1047:D1047"/>
    <mergeCell ref="C1050:D1050"/>
    <mergeCell ref="C1051:D1051"/>
    <mergeCell ref="C1052:D1052"/>
    <mergeCell ref="B1055:B1070"/>
    <mergeCell ref="C1055:D1055"/>
    <mergeCell ref="C1056:D1056"/>
    <mergeCell ref="C1057:D1057"/>
    <mergeCell ref="C1063:D1063"/>
    <mergeCell ref="C1069:D1069"/>
    <mergeCell ref="C1121:D1121"/>
    <mergeCell ref="C1122:D1122"/>
    <mergeCell ref="C1126:D1126"/>
    <mergeCell ref="C1127:D1127"/>
    <mergeCell ref="C1128:D1128"/>
    <mergeCell ref="C1135:D1135"/>
    <mergeCell ref="C1072:D1072"/>
    <mergeCell ref="C1073:D1073"/>
    <mergeCell ref="C1074:D1074"/>
    <mergeCell ref="C1081:D1081"/>
    <mergeCell ref="C1099:D1099"/>
    <mergeCell ref="C1103:D1103"/>
    <mergeCell ref="C1192:D1192"/>
    <mergeCell ref="C1193:D1193"/>
    <mergeCell ref="C1200:D1200"/>
    <mergeCell ref="C1219:D1219"/>
    <mergeCell ref="C1222:D1222"/>
    <mergeCell ref="C1228:D1228"/>
    <mergeCell ref="C1147:D1147"/>
    <mergeCell ref="C1150:D1150"/>
    <mergeCell ref="C1181:D1181"/>
    <mergeCell ref="C1182:D1182"/>
    <mergeCell ref="C1187:D1187"/>
    <mergeCell ref="C1191:D1191"/>
    <mergeCell ref="C1258:D1258"/>
    <mergeCell ref="C1259:D1259"/>
    <mergeCell ref="C1260:D1260"/>
    <mergeCell ref="C1266:D1266"/>
    <mergeCell ref="C1271:D1271"/>
    <mergeCell ref="C1278:D1278"/>
    <mergeCell ref="C1229:D1229"/>
    <mergeCell ref="C1236:D1236"/>
    <mergeCell ref="C1242:D1242"/>
    <mergeCell ref="C1243:D1243"/>
    <mergeCell ref="C1244:D1244"/>
    <mergeCell ref="C1250:D1250"/>
    <mergeCell ref="B1306:B1309"/>
    <mergeCell ref="C1306:D1306"/>
    <mergeCell ref="C1307:D1307"/>
    <mergeCell ref="C1308:D1308"/>
    <mergeCell ref="C1310:D1310"/>
    <mergeCell ref="C1311:D1311"/>
    <mergeCell ref="C1283:D1283"/>
    <mergeCell ref="C1287:D1287"/>
    <mergeCell ref="C1288:D1288"/>
    <mergeCell ref="B1294:B1304"/>
    <mergeCell ref="C1294:D1294"/>
    <mergeCell ref="C1295:D1295"/>
    <mergeCell ref="C1296:D1296"/>
    <mergeCell ref="C1300:D1300"/>
    <mergeCell ref="C1303:D1303"/>
    <mergeCell ref="C1335:D1335"/>
    <mergeCell ref="C1336:D1336"/>
    <mergeCell ref="B1339:B1345"/>
    <mergeCell ref="C1339:D1339"/>
    <mergeCell ref="C1340:D1340"/>
    <mergeCell ref="C1343:D1343"/>
    <mergeCell ref="C1344:D1344"/>
    <mergeCell ref="C1315:D1315"/>
    <mergeCell ref="C1316:D1316"/>
    <mergeCell ref="B1321:B1331"/>
    <mergeCell ref="C1321:D1321"/>
    <mergeCell ref="C1322:D1322"/>
    <mergeCell ref="C1323:D1323"/>
    <mergeCell ref="C1326:D1326"/>
    <mergeCell ref="C1330:D1330"/>
    <mergeCell ref="C1331:D1331"/>
    <mergeCell ref="B1355:B1357"/>
    <mergeCell ref="C1355:D1355"/>
    <mergeCell ref="C1356:D1356"/>
    <mergeCell ref="C1359:D1359"/>
    <mergeCell ref="C1360:D1360"/>
    <mergeCell ref="B1361:B1365"/>
    <mergeCell ref="C1361:D1361"/>
    <mergeCell ref="C1364:D1364"/>
    <mergeCell ref="B1347:B1349"/>
    <mergeCell ref="C1347:D1347"/>
    <mergeCell ref="C1348:D1348"/>
    <mergeCell ref="C1351:D1351"/>
    <mergeCell ref="C1352:D1352"/>
    <mergeCell ref="C1354:D1354"/>
    <mergeCell ref="C1376:D1376"/>
    <mergeCell ref="C1377:D1377"/>
    <mergeCell ref="C1380:D1380"/>
    <mergeCell ref="B1383:B1386"/>
    <mergeCell ref="C1383:D1383"/>
    <mergeCell ref="C1384:D1384"/>
    <mergeCell ref="C1385:D1385"/>
    <mergeCell ref="C1367:D1367"/>
    <mergeCell ref="C1368:D1368"/>
    <mergeCell ref="B1371:B1373"/>
    <mergeCell ref="C1371:D1371"/>
    <mergeCell ref="C1372:D1372"/>
    <mergeCell ref="C1375:D1375"/>
    <mergeCell ref="B1401:B1403"/>
    <mergeCell ref="C1401:D1401"/>
    <mergeCell ref="C1402:D1402"/>
    <mergeCell ref="C1405:D1405"/>
    <mergeCell ref="C1406:D1406"/>
    <mergeCell ref="C1407:D1407"/>
    <mergeCell ref="C1388:D1388"/>
    <mergeCell ref="C1389:D1389"/>
    <mergeCell ref="C1390:D1390"/>
    <mergeCell ref="C1393:D1393"/>
    <mergeCell ref="B1397:B1399"/>
    <mergeCell ref="C1397:D1397"/>
    <mergeCell ref="C1398:D1398"/>
    <mergeCell ref="C1414:D1414"/>
    <mergeCell ref="C1437:D1437"/>
    <mergeCell ref="B1440:B1455"/>
    <mergeCell ref="C1440:D1440"/>
    <mergeCell ref="C1443:D1443"/>
    <mergeCell ref="C1444:D1444"/>
    <mergeCell ref="C1447:D1447"/>
    <mergeCell ref="C1448:D1448"/>
    <mergeCell ref="C1452:D1452"/>
    <mergeCell ref="C1453:D1453"/>
    <mergeCell ref="C1523:D1523"/>
    <mergeCell ref="B1530:B1532"/>
    <mergeCell ref="C1530:D1530"/>
    <mergeCell ref="C1531:D1531"/>
    <mergeCell ref="C1536:D1536"/>
    <mergeCell ref="C1537:D1537"/>
    <mergeCell ref="C1457:D1457"/>
    <mergeCell ref="C1458:D1458"/>
    <mergeCell ref="C1461:D1461"/>
    <mergeCell ref="C1462:D1462"/>
    <mergeCell ref="C1469:D1469"/>
    <mergeCell ref="C1522:D1522"/>
    <mergeCell ref="C1614:D1614"/>
    <mergeCell ref="C1615:D1615"/>
    <mergeCell ref="C1621:D1621"/>
    <mergeCell ref="B1625:B1628"/>
    <mergeCell ref="C1625:D1625"/>
    <mergeCell ref="C1626:D1626"/>
    <mergeCell ref="C1540:D1540"/>
    <mergeCell ref="C1541:D1541"/>
    <mergeCell ref="C1542:D1542"/>
    <mergeCell ref="C1549:D1549"/>
    <mergeCell ref="C1570:D1570"/>
    <mergeCell ref="C1574:D1574"/>
    <mergeCell ref="C1661:D1661"/>
    <mergeCell ref="C1667:D1667"/>
    <mergeCell ref="B1672:B1677"/>
    <mergeCell ref="C1676:D1676"/>
    <mergeCell ref="B1679:B1681"/>
    <mergeCell ref="C1679:D1679"/>
    <mergeCell ref="C1680:D1680"/>
    <mergeCell ref="C1633:D1633"/>
    <mergeCell ref="C1652:D1652"/>
    <mergeCell ref="C1653:D1653"/>
    <mergeCell ref="C1654:D1654"/>
    <mergeCell ref="C1659:D1659"/>
    <mergeCell ref="C1660:D1660"/>
    <mergeCell ref="C1716:D1716"/>
    <mergeCell ref="C1717:D1717"/>
    <mergeCell ref="C1720:D1720"/>
    <mergeCell ref="C1732:D1732"/>
    <mergeCell ref="C1733:D1733"/>
    <mergeCell ref="C1734:D1734"/>
    <mergeCell ref="B1705:B1707"/>
    <mergeCell ref="C1705:D1705"/>
    <mergeCell ref="C1706:D1706"/>
    <mergeCell ref="C1710:D1710"/>
    <mergeCell ref="C1711:D1711"/>
    <mergeCell ref="C1712:D1712"/>
    <mergeCell ref="C1740:D1740"/>
    <mergeCell ref="B1749:B1758"/>
    <mergeCell ref="C1757:D1757"/>
    <mergeCell ref="B1760:B1766"/>
    <mergeCell ref="C1760:D1760"/>
    <mergeCell ref="C1761:D1761"/>
    <mergeCell ref="C1762:D1762"/>
    <mergeCell ref="C1764:D1764"/>
    <mergeCell ref="C1765:D1765"/>
    <mergeCell ref="B1782:B1786"/>
    <mergeCell ref="C1782:D1782"/>
    <mergeCell ref="C1783:D1783"/>
    <mergeCell ref="C1784:D1784"/>
    <mergeCell ref="C1788:D1788"/>
    <mergeCell ref="C1791:D1791"/>
    <mergeCell ref="C1771:D1771"/>
    <mergeCell ref="C1772:D1772"/>
    <mergeCell ref="C1773:D1773"/>
    <mergeCell ref="B1778:B1780"/>
    <mergeCell ref="C1778:D1778"/>
    <mergeCell ref="C1779:D1779"/>
    <mergeCell ref="C1809:D1809"/>
    <mergeCell ref="C1810:D1810"/>
    <mergeCell ref="C1811:D1811"/>
    <mergeCell ref="B1814:B1822"/>
    <mergeCell ref="C1814:D1814"/>
    <mergeCell ref="C1815:D1815"/>
    <mergeCell ref="C1816:D1816"/>
    <mergeCell ref="C1821:D1821"/>
    <mergeCell ref="C1792:D1792"/>
    <mergeCell ref="C1793:D1793"/>
    <mergeCell ref="B1796:B1798"/>
    <mergeCell ref="C1796:D1796"/>
    <mergeCell ref="C1797:D1797"/>
    <mergeCell ref="B1800:B1808"/>
    <mergeCell ref="C1800:D1800"/>
    <mergeCell ref="C1801:D1801"/>
    <mergeCell ref="C1802:D1802"/>
    <mergeCell ref="C1807:D1807"/>
    <mergeCell ref="B1824:B1833"/>
    <mergeCell ref="C1824:D1824"/>
    <mergeCell ref="C1825:D1825"/>
    <mergeCell ref="C1826:D1826"/>
    <mergeCell ref="C1831:D1831"/>
    <mergeCell ref="B1835:B1841"/>
    <mergeCell ref="C1835:D1835"/>
    <mergeCell ref="C1836:D1836"/>
    <mergeCell ref="C1837:D1837"/>
    <mergeCell ref="C1842:D1842"/>
    <mergeCell ref="C1843:D1843"/>
    <mergeCell ref="C1845:D1845"/>
    <mergeCell ref="C1846:D1846"/>
    <mergeCell ref="C1847:D1847"/>
    <mergeCell ref="B1851:B1858"/>
    <mergeCell ref="C1851:D1851"/>
    <mergeCell ref="C1852:D1852"/>
    <mergeCell ref="C1856:D1856"/>
    <mergeCell ref="B1874:B1882"/>
    <mergeCell ref="C1874:D1874"/>
    <mergeCell ref="C1875:D1875"/>
    <mergeCell ref="C1880:D1880"/>
    <mergeCell ref="C1881:D1881"/>
    <mergeCell ref="C1887:D1887"/>
    <mergeCell ref="B1860:B1863"/>
    <mergeCell ref="C1860:D1860"/>
    <mergeCell ref="C1861:D1861"/>
    <mergeCell ref="C1865:D1865"/>
    <mergeCell ref="C1866:D1866"/>
    <mergeCell ref="B1869:B1871"/>
    <mergeCell ref="C1869:D1869"/>
    <mergeCell ref="C1870:D1870"/>
    <mergeCell ref="B1906:B1909"/>
    <mergeCell ref="C1906:D1906"/>
    <mergeCell ref="C1907:D1907"/>
    <mergeCell ref="C1910:D1910"/>
    <mergeCell ref="C1911:D1911"/>
    <mergeCell ref="C1912:D1912"/>
    <mergeCell ref="B1891:B1895"/>
    <mergeCell ref="C1891:D1891"/>
    <mergeCell ref="C1892:D1892"/>
    <mergeCell ref="B1897:B1904"/>
    <mergeCell ref="C1897:D1897"/>
    <mergeCell ref="C1898:D1898"/>
    <mergeCell ref="C1902:D1902"/>
    <mergeCell ref="C1903:D1903"/>
    <mergeCell ref="B1935:B1944"/>
    <mergeCell ref="C1935:D1935"/>
    <mergeCell ref="C1936:D1936"/>
    <mergeCell ref="C1937:D1937"/>
    <mergeCell ref="C1942:D1942"/>
    <mergeCell ref="C1946:D1946"/>
    <mergeCell ref="B1915:B1917"/>
    <mergeCell ref="C1915:D1915"/>
    <mergeCell ref="C1916:D1916"/>
    <mergeCell ref="C1921:D1921"/>
    <mergeCell ref="C1922:D1922"/>
    <mergeCell ref="B1925:B1930"/>
    <mergeCell ref="C1925:D1925"/>
    <mergeCell ref="C1926:D1926"/>
    <mergeCell ref="C1927:D1927"/>
    <mergeCell ref="C1930:D1930"/>
    <mergeCell ref="C1987:D1987"/>
    <mergeCell ref="C1988:D1988"/>
    <mergeCell ref="C1995:D1995"/>
    <mergeCell ref="C2012:D2012"/>
    <mergeCell ref="C2014:D2014"/>
    <mergeCell ref="C2015:D2015"/>
    <mergeCell ref="C1950:D1950"/>
    <mergeCell ref="C1970:D1970"/>
    <mergeCell ref="C1971:D1971"/>
    <mergeCell ref="C1976:D1976"/>
    <mergeCell ref="C1977:D1977"/>
    <mergeCell ref="C1986:D1986"/>
    <mergeCell ref="C2037:D2037"/>
    <mergeCell ref="C2038:D2038"/>
    <mergeCell ref="C2042:D2042"/>
    <mergeCell ref="C2046:D2046"/>
    <mergeCell ref="C2050:D2050"/>
    <mergeCell ref="C2051:D2051"/>
    <mergeCell ref="C2019:D2019"/>
    <mergeCell ref="C2020:D2020"/>
    <mergeCell ref="C2021:D2021"/>
    <mergeCell ref="C2024:D2024"/>
    <mergeCell ref="C2028:D2028"/>
    <mergeCell ref="C2032:D2032"/>
    <mergeCell ref="A2074:D2074"/>
    <mergeCell ref="C1982:D1982"/>
    <mergeCell ref="C1983:D1983"/>
    <mergeCell ref="A2068:D2068"/>
    <mergeCell ref="A2069:D2069"/>
    <mergeCell ref="A2070:D2070"/>
    <mergeCell ref="A2071:D2071"/>
    <mergeCell ref="A2072:D2072"/>
    <mergeCell ref="A2073:D2073"/>
    <mergeCell ref="A2062:D2062"/>
    <mergeCell ref="A2063:D2063"/>
    <mergeCell ref="A2064:D2064"/>
    <mergeCell ref="A2065:D2065"/>
    <mergeCell ref="A2066:D2066"/>
    <mergeCell ref="A2067:D2067"/>
    <mergeCell ref="C2055:D2055"/>
    <mergeCell ref="C2056:D2056"/>
    <mergeCell ref="A2058:D2058"/>
    <mergeCell ref="A2059:D2059"/>
    <mergeCell ref="A2060:D2060"/>
    <mergeCell ref="A2061:D2061"/>
    <mergeCell ref="C2033:D2033"/>
    <mergeCell ref="A2035:A2053"/>
    <mergeCell ref="C2036:D20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HR1571"/>
  <sheetViews>
    <sheetView view="pageBreakPreview" zoomScaleSheetLayoutView="100" workbookViewId="0">
      <pane ySplit="7" topLeftCell="A542" activePane="bottomLeft" state="frozen"/>
      <selection activeCell="L7" sqref="L7"/>
      <selection pane="bottomLeft" activeCell="L2" sqref="L2"/>
    </sheetView>
  </sheetViews>
  <sheetFormatPr defaultRowHeight="12.75"/>
  <cols>
    <col min="1" max="1" width="3.5703125" style="1" customWidth="1"/>
    <col min="2" max="2" width="50.7109375" style="1" customWidth="1"/>
    <col min="3" max="4" width="7.7109375" style="59" customWidth="1"/>
    <col min="5" max="5" width="16.85546875" style="1" bestFit="1" customWidth="1"/>
    <col min="6" max="10" width="12.7109375" style="1" customWidth="1"/>
    <col min="11" max="11" width="11.42578125" style="37" bestFit="1" customWidth="1"/>
    <col min="12" max="12" width="11.140625" style="1" bestFit="1" customWidth="1"/>
    <col min="13" max="14" width="9.85546875" style="1" bestFit="1" customWidth="1"/>
    <col min="15" max="242" width="9.140625" style="1"/>
    <col min="243" max="243" width="4.28515625" style="1" bestFit="1" customWidth="1"/>
    <col min="244" max="244" width="6.85546875" style="1" bestFit="1" customWidth="1"/>
    <col min="245" max="245" width="11" style="1" customWidth="1"/>
    <col min="246" max="246" width="11.140625" style="1" bestFit="1" customWidth="1"/>
    <col min="247" max="247" width="10.85546875" style="1" customWidth="1"/>
    <col min="248" max="248" width="11.5703125" style="1" customWidth="1"/>
    <col min="249" max="249" width="11.140625" style="1" bestFit="1" customWidth="1"/>
    <col min="250" max="250" width="11" style="1" customWidth="1"/>
    <col min="251" max="251" width="10.42578125" style="1" customWidth="1"/>
    <col min="252" max="252" width="11.28515625" style="1" customWidth="1"/>
    <col min="253" max="254" width="9.140625" style="1" bestFit="1" customWidth="1"/>
    <col min="255" max="256" width="11.140625" style="1" bestFit="1" customWidth="1"/>
    <col min="257" max="257" width="11.5703125" style="1" bestFit="1" customWidth="1"/>
    <col min="258" max="258" width="9.140625" style="1" bestFit="1" customWidth="1"/>
    <col min="259" max="259" width="10.28515625" style="1" customWidth="1"/>
    <col min="260" max="498" width="9.140625" style="1"/>
    <col min="499" max="499" width="4.28515625" style="1" bestFit="1" customWidth="1"/>
    <col min="500" max="500" width="6.85546875" style="1" bestFit="1" customWidth="1"/>
    <col min="501" max="501" width="11" style="1" customWidth="1"/>
    <col min="502" max="502" width="11.140625" style="1" bestFit="1" customWidth="1"/>
    <col min="503" max="503" width="10.85546875" style="1" customWidth="1"/>
    <col min="504" max="504" width="11.5703125" style="1" customWidth="1"/>
    <col min="505" max="505" width="11.140625" style="1" bestFit="1" customWidth="1"/>
    <col min="506" max="506" width="11" style="1" customWidth="1"/>
    <col min="507" max="507" width="10.42578125" style="1" customWidth="1"/>
    <col min="508" max="508" width="11.28515625" style="1" customWidth="1"/>
    <col min="509" max="510" width="9.140625" style="1" bestFit="1" customWidth="1"/>
    <col min="511" max="512" width="11.140625" style="1" bestFit="1" customWidth="1"/>
    <col min="513" max="513" width="11.5703125" style="1" bestFit="1" customWidth="1"/>
    <col min="514" max="514" width="9.140625" style="1" bestFit="1" customWidth="1"/>
    <col min="515" max="515" width="10.28515625" style="1" customWidth="1"/>
    <col min="516" max="754" width="9.140625" style="1"/>
    <col min="755" max="755" width="4.28515625" style="1" bestFit="1" customWidth="1"/>
    <col min="756" max="756" width="6.85546875" style="1" bestFit="1" customWidth="1"/>
    <col min="757" max="757" width="11" style="1" customWidth="1"/>
    <col min="758" max="758" width="11.140625" style="1" bestFit="1" customWidth="1"/>
    <col min="759" max="759" width="10.85546875" style="1" customWidth="1"/>
    <col min="760" max="760" width="11.5703125" style="1" customWidth="1"/>
    <col min="761" max="761" width="11.140625" style="1" bestFit="1" customWidth="1"/>
    <col min="762" max="762" width="11" style="1" customWidth="1"/>
    <col min="763" max="763" width="10.42578125" style="1" customWidth="1"/>
    <col min="764" max="764" width="11.28515625" style="1" customWidth="1"/>
    <col min="765" max="766" width="9.140625" style="1" bestFit="1" customWidth="1"/>
    <col min="767" max="768" width="11.140625" style="1" bestFit="1" customWidth="1"/>
    <col min="769" max="769" width="11.5703125" style="1" bestFit="1" customWidth="1"/>
    <col min="770" max="770" width="9.140625" style="1" bestFit="1" customWidth="1"/>
    <col min="771" max="771" width="10.28515625" style="1" customWidth="1"/>
    <col min="772" max="1010" width="9.140625" style="1"/>
    <col min="1011" max="1011" width="4.28515625" style="1" bestFit="1" customWidth="1"/>
    <col min="1012" max="1012" width="6.85546875" style="1" bestFit="1" customWidth="1"/>
    <col min="1013" max="1013" width="11" style="1" customWidth="1"/>
    <col min="1014" max="1014" width="11.140625" style="1" bestFit="1" customWidth="1"/>
    <col min="1015" max="1015" width="10.85546875" style="1" customWidth="1"/>
    <col min="1016" max="1016" width="11.5703125" style="1" customWidth="1"/>
    <col min="1017" max="1017" width="11.140625" style="1" bestFit="1" customWidth="1"/>
    <col min="1018" max="1018" width="11" style="1" customWidth="1"/>
    <col min="1019" max="1019" width="10.42578125" style="1" customWidth="1"/>
    <col min="1020" max="1020" width="11.28515625" style="1" customWidth="1"/>
    <col min="1021" max="1022" width="9.140625" style="1" bestFit="1" customWidth="1"/>
    <col min="1023" max="1024" width="11.140625" style="1" bestFit="1" customWidth="1"/>
    <col min="1025" max="1025" width="11.5703125" style="1" bestFit="1" customWidth="1"/>
    <col min="1026" max="1026" width="9.140625" style="1" bestFit="1" customWidth="1"/>
    <col min="1027" max="1027" width="10.28515625" style="1" customWidth="1"/>
    <col min="1028" max="1266" width="9.140625" style="1"/>
    <col min="1267" max="1267" width="4.28515625" style="1" bestFit="1" customWidth="1"/>
    <col min="1268" max="1268" width="6.85546875" style="1" bestFit="1" customWidth="1"/>
    <col min="1269" max="1269" width="11" style="1" customWidth="1"/>
    <col min="1270" max="1270" width="11.140625" style="1" bestFit="1" customWidth="1"/>
    <col min="1271" max="1271" width="10.85546875" style="1" customWidth="1"/>
    <col min="1272" max="1272" width="11.5703125" style="1" customWidth="1"/>
    <col min="1273" max="1273" width="11.140625" style="1" bestFit="1" customWidth="1"/>
    <col min="1274" max="1274" width="11" style="1" customWidth="1"/>
    <col min="1275" max="1275" width="10.42578125" style="1" customWidth="1"/>
    <col min="1276" max="1276" width="11.28515625" style="1" customWidth="1"/>
    <col min="1277" max="1278" width="9.140625" style="1" bestFit="1" customWidth="1"/>
    <col min="1279" max="1280" width="11.140625" style="1" bestFit="1" customWidth="1"/>
    <col min="1281" max="1281" width="11.5703125" style="1" bestFit="1" customWidth="1"/>
    <col min="1282" max="1282" width="9.140625" style="1" bestFit="1" customWidth="1"/>
    <col min="1283" max="1283" width="10.28515625" style="1" customWidth="1"/>
    <col min="1284" max="1522" width="9.140625" style="1"/>
    <col min="1523" max="1523" width="4.28515625" style="1" bestFit="1" customWidth="1"/>
    <col min="1524" max="1524" width="6.85546875" style="1" bestFit="1" customWidth="1"/>
    <col min="1525" max="1525" width="11" style="1" customWidth="1"/>
    <col min="1526" max="1526" width="11.140625" style="1" bestFit="1" customWidth="1"/>
    <col min="1527" max="1527" width="10.85546875" style="1" customWidth="1"/>
    <col min="1528" max="1528" width="11.5703125" style="1" customWidth="1"/>
    <col min="1529" max="1529" width="11.140625" style="1" bestFit="1" customWidth="1"/>
    <col min="1530" max="1530" width="11" style="1" customWidth="1"/>
    <col min="1531" max="1531" width="10.42578125" style="1" customWidth="1"/>
    <col min="1532" max="1532" width="11.28515625" style="1" customWidth="1"/>
    <col min="1533" max="1534" width="9.140625" style="1" bestFit="1" customWidth="1"/>
    <col min="1535" max="1536" width="11.140625" style="1" bestFit="1" customWidth="1"/>
    <col min="1537" max="1537" width="11.5703125" style="1" bestFit="1" customWidth="1"/>
    <col min="1538" max="1538" width="9.140625" style="1" bestFit="1" customWidth="1"/>
    <col min="1539" max="1539" width="10.28515625" style="1" customWidth="1"/>
    <col min="1540" max="1778" width="9.140625" style="1"/>
    <col min="1779" max="1779" width="4.28515625" style="1" bestFit="1" customWidth="1"/>
    <col min="1780" max="1780" width="6.85546875" style="1" bestFit="1" customWidth="1"/>
    <col min="1781" max="1781" width="11" style="1" customWidth="1"/>
    <col min="1782" max="1782" width="11.140625" style="1" bestFit="1" customWidth="1"/>
    <col min="1783" max="1783" width="10.85546875" style="1" customWidth="1"/>
    <col min="1784" max="1784" width="11.5703125" style="1" customWidth="1"/>
    <col min="1785" max="1785" width="11.140625" style="1" bestFit="1" customWidth="1"/>
    <col min="1786" max="1786" width="11" style="1" customWidth="1"/>
    <col min="1787" max="1787" width="10.42578125" style="1" customWidth="1"/>
    <col min="1788" max="1788" width="11.28515625" style="1" customWidth="1"/>
    <col min="1789" max="1790" width="9.140625" style="1" bestFit="1" customWidth="1"/>
    <col min="1791" max="1792" width="11.140625" style="1" bestFit="1" customWidth="1"/>
    <col min="1793" max="1793" width="11.5703125" style="1" bestFit="1" customWidth="1"/>
    <col min="1794" max="1794" width="9.140625" style="1" bestFit="1" customWidth="1"/>
    <col min="1795" max="1795" width="10.28515625" style="1" customWidth="1"/>
    <col min="1796" max="2034" width="9.140625" style="1"/>
    <col min="2035" max="2035" width="4.28515625" style="1" bestFit="1" customWidth="1"/>
    <col min="2036" max="2036" width="6.85546875" style="1" bestFit="1" customWidth="1"/>
    <col min="2037" max="2037" width="11" style="1" customWidth="1"/>
    <col min="2038" max="2038" width="11.140625" style="1" bestFit="1" customWidth="1"/>
    <col min="2039" max="2039" width="10.85546875" style="1" customWidth="1"/>
    <col min="2040" max="2040" width="11.5703125" style="1" customWidth="1"/>
    <col min="2041" max="2041" width="11.140625" style="1" bestFit="1" customWidth="1"/>
    <col min="2042" max="2042" width="11" style="1" customWidth="1"/>
    <col min="2043" max="2043" width="10.42578125" style="1" customWidth="1"/>
    <col min="2044" max="2044" width="11.28515625" style="1" customWidth="1"/>
    <col min="2045" max="2046" width="9.140625" style="1" bestFit="1" customWidth="1"/>
    <col min="2047" max="2048" width="11.140625" style="1" bestFit="1" customWidth="1"/>
    <col min="2049" max="2049" width="11.5703125" style="1" bestFit="1" customWidth="1"/>
    <col min="2050" max="2050" width="9.140625" style="1" bestFit="1" customWidth="1"/>
    <col min="2051" max="2051" width="10.28515625" style="1" customWidth="1"/>
    <col min="2052" max="2290" width="9.140625" style="1"/>
    <col min="2291" max="2291" width="4.28515625" style="1" bestFit="1" customWidth="1"/>
    <col min="2292" max="2292" width="6.85546875" style="1" bestFit="1" customWidth="1"/>
    <col min="2293" max="2293" width="11" style="1" customWidth="1"/>
    <col min="2294" max="2294" width="11.140625" style="1" bestFit="1" customWidth="1"/>
    <col min="2295" max="2295" width="10.85546875" style="1" customWidth="1"/>
    <col min="2296" max="2296" width="11.5703125" style="1" customWidth="1"/>
    <col min="2297" max="2297" width="11.140625" style="1" bestFit="1" customWidth="1"/>
    <col min="2298" max="2298" width="11" style="1" customWidth="1"/>
    <col min="2299" max="2299" width="10.42578125" style="1" customWidth="1"/>
    <col min="2300" max="2300" width="11.28515625" style="1" customWidth="1"/>
    <col min="2301" max="2302" width="9.140625" style="1" bestFit="1" customWidth="1"/>
    <col min="2303" max="2304" width="11.140625" style="1" bestFit="1" customWidth="1"/>
    <col min="2305" max="2305" width="11.5703125" style="1" bestFit="1" customWidth="1"/>
    <col min="2306" max="2306" width="9.140625" style="1" bestFit="1" customWidth="1"/>
    <col min="2307" max="2307" width="10.28515625" style="1" customWidth="1"/>
    <col min="2308" max="2546" width="9.140625" style="1"/>
    <col min="2547" max="2547" width="4.28515625" style="1" bestFit="1" customWidth="1"/>
    <col min="2548" max="2548" width="6.85546875" style="1" bestFit="1" customWidth="1"/>
    <col min="2549" max="2549" width="11" style="1" customWidth="1"/>
    <col min="2550" max="2550" width="11.140625" style="1" bestFit="1" customWidth="1"/>
    <col min="2551" max="2551" width="10.85546875" style="1" customWidth="1"/>
    <col min="2552" max="2552" width="11.5703125" style="1" customWidth="1"/>
    <col min="2553" max="2553" width="11.140625" style="1" bestFit="1" customWidth="1"/>
    <col min="2554" max="2554" width="11" style="1" customWidth="1"/>
    <col min="2555" max="2555" width="10.42578125" style="1" customWidth="1"/>
    <col min="2556" max="2556" width="11.28515625" style="1" customWidth="1"/>
    <col min="2557" max="2558" width="9.140625" style="1" bestFit="1" customWidth="1"/>
    <col min="2559" max="2560" width="11.140625" style="1" bestFit="1" customWidth="1"/>
    <col min="2561" max="2561" width="11.5703125" style="1" bestFit="1" customWidth="1"/>
    <col min="2562" max="2562" width="9.140625" style="1" bestFit="1" customWidth="1"/>
    <col min="2563" max="2563" width="10.28515625" style="1" customWidth="1"/>
    <col min="2564" max="2802" width="9.140625" style="1"/>
    <col min="2803" max="2803" width="4.28515625" style="1" bestFit="1" customWidth="1"/>
    <col min="2804" max="2804" width="6.85546875" style="1" bestFit="1" customWidth="1"/>
    <col min="2805" max="2805" width="11" style="1" customWidth="1"/>
    <col min="2806" max="2806" width="11.140625" style="1" bestFit="1" customWidth="1"/>
    <col min="2807" max="2807" width="10.85546875" style="1" customWidth="1"/>
    <col min="2808" max="2808" width="11.5703125" style="1" customWidth="1"/>
    <col min="2809" max="2809" width="11.140625" style="1" bestFit="1" customWidth="1"/>
    <col min="2810" max="2810" width="11" style="1" customWidth="1"/>
    <col min="2811" max="2811" width="10.42578125" style="1" customWidth="1"/>
    <col min="2812" max="2812" width="11.28515625" style="1" customWidth="1"/>
    <col min="2813" max="2814" width="9.140625" style="1" bestFit="1" customWidth="1"/>
    <col min="2815" max="2816" width="11.140625" style="1" bestFit="1" customWidth="1"/>
    <col min="2817" max="2817" width="11.5703125" style="1" bestFit="1" customWidth="1"/>
    <col min="2818" max="2818" width="9.140625" style="1" bestFit="1" customWidth="1"/>
    <col min="2819" max="2819" width="10.28515625" style="1" customWidth="1"/>
    <col min="2820" max="3058" width="9.140625" style="1"/>
    <col min="3059" max="3059" width="4.28515625" style="1" bestFit="1" customWidth="1"/>
    <col min="3060" max="3060" width="6.85546875" style="1" bestFit="1" customWidth="1"/>
    <col min="3061" max="3061" width="11" style="1" customWidth="1"/>
    <col min="3062" max="3062" width="11.140625" style="1" bestFit="1" customWidth="1"/>
    <col min="3063" max="3063" width="10.85546875" style="1" customWidth="1"/>
    <col min="3064" max="3064" width="11.5703125" style="1" customWidth="1"/>
    <col min="3065" max="3065" width="11.140625" style="1" bestFit="1" customWidth="1"/>
    <col min="3066" max="3066" width="11" style="1" customWidth="1"/>
    <col min="3067" max="3067" width="10.42578125" style="1" customWidth="1"/>
    <col min="3068" max="3068" width="11.28515625" style="1" customWidth="1"/>
    <col min="3069" max="3070" width="9.140625" style="1" bestFit="1" customWidth="1"/>
    <col min="3071" max="3072" width="11.140625" style="1" bestFit="1" customWidth="1"/>
    <col min="3073" max="3073" width="11.5703125" style="1" bestFit="1" customWidth="1"/>
    <col min="3074" max="3074" width="9.140625" style="1" bestFit="1" customWidth="1"/>
    <col min="3075" max="3075" width="10.28515625" style="1" customWidth="1"/>
    <col min="3076" max="3314" width="9.140625" style="1"/>
    <col min="3315" max="3315" width="4.28515625" style="1" bestFit="1" customWidth="1"/>
    <col min="3316" max="3316" width="6.85546875" style="1" bestFit="1" customWidth="1"/>
    <col min="3317" max="3317" width="11" style="1" customWidth="1"/>
    <col min="3318" max="3318" width="11.140625" style="1" bestFit="1" customWidth="1"/>
    <col min="3319" max="3319" width="10.85546875" style="1" customWidth="1"/>
    <col min="3320" max="3320" width="11.5703125" style="1" customWidth="1"/>
    <col min="3321" max="3321" width="11.140625" style="1" bestFit="1" customWidth="1"/>
    <col min="3322" max="3322" width="11" style="1" customWidth="1"/>
    <col min="3323" max="3323" width="10.42578125" style="1" customWidth="1"/>
    <col min="3324" max="3324" width="11.28515625" style="1" customWidth="1"/>
    <col min="3325" max="3326" width="9.140625" style="1" bestFit="1" customWidth="1"/>
    <col min="3327" max="3328" width="11.140625" style="1" bestFit="1" customWidth="1"/>
    <col min="3329" max="3329" width="11.5703125" style="1" bestFit="1" customWidth="1"/>
    <col min="3330" max="3330" width="9.140625" style="1" bestFit="1" customWidth="1"/>
    <col min="3331" max="3331" width="10.28515625" style="1" customWidth="1"/>
    <col min="3332" max="3570" width="9.140625" style="1"/>
    <col min="3571" max="3571" width="4.28515625" style="1" bestFit="1" customWidth="1"/>
    <col min="3572" max="3572" width="6.85546875" style="1" bestFit="1" customWidth="1"/>
    <col min="3573" max="3573" width="11" style="1" customWidth="1"/>
    <col min="3574" max="3574" width="11.140625" style="1" bestFit="1" customWidth="1"/>
    <col min="3575" max="3575" width="10.85546875" style="1" customWidth="1"/>
    <col min="3576" max="3576" width="11.5703125" style="1" customWidth="1"/>
    <col min="3577" max="3577" width="11.140625" style="1" bestFit="1" customWidth="1"/>
    <col min="3578" max="3578" width="11" style="1" customWidth="1"/>
    <col min="3579" max="3579" width="10.42578125" style="1" customWidth="1"/>
    <col min="3580" max="3580" width="11.28515625" style="1" customWidth="1"/>
    <col min="3581" max="3582" width="9.140625" style="1" bestFit="1" customWidth="1"/>
    <col min="3583" max="3584" width="11.140625" style="1" bestFit="1" customWidth="1"/>
    <col min="3585" max="3585" width="11.5703125" style="1" bestFit="1" customWidth="1"/>
    <col min="3586" max="3586" width="9.140625" style="1" bestFit="1" customWidth="1"/>
    <col min="3587" max="3587" width="10.28515625" style="1" customWidth="1"/>
    <col min="3588" max="3826" width="9.140625" style="1"/>
    <col min="3827" max="3827" width="4.28515625" style="1" bestFit="1" customWidth="1"/>
    <col min="3828" max="3828" width="6.85546875" style="1" bestFit="1" customWidth="1"/>
    <col min="3829" max="3829" width="11" style="1" customWidth="1"/>
    <col min="3830" max="3830" width="11.140625" style="1" bestFit="1" customWidth="1"/>
    <col min="3831" max="3831" width="10.85546875" style="1" customWidth="1"/>
    <col min="3832" max="3832" width="11.5703125" style="1" customWidth="1"/>
    <col min="3833" max="3833" width="11.140625" style="1" bestFit="1" customWidth="1"/>
    <col min="3834" max="3834" width="11" style="1" customWidth="1"/>
    <col min="3835" max="3835" width="10.42578125" style="1" customWidth="1"/>
    <col min="3836" max="3836" width="11.28515625" style="1" customWidth="1"/>
    <col min="3837" max="3838" width="9.140625" style="1" bestFit="1" customWidth="1"/>
    <col min="3839" max="3840" width="11.140625" style="1" bestFit="1" customWidth="1"/>
    <col min="3841" max="3841" width="11.5703125" style="1" bestFit="1" customWidth="1"/>
    <col min="3842" max="3842" width="9.140625" style="1" bestFit="1" customWidth="1"/>
    <col min="3843" max="3843" width="10.28515625" style="1" customWidth="1"/>
    <col min="3844" max="4082" width="9.140625" style="1"/>
    <col min="4083" max="4083" width="4.28515625" style="1" bestFit="1" customWidth="1"/>
    <col min="4084" max="4084" width="6.85546875" style="1" bestFit="1" customWidth="1"/>
    <col min="4085" max="4085" width="11" style="1" customWidth="1"/>
    <col min="4086" max="4086" width="11.140625" style="1" bestFit="1" customWidth="1"/>
    <col min="4087" max="4087" width="10.85546875" style="1" customWidth="1"/>
    <col min="4088" max="4088" width="11.5703125" style="1" customWidth="1"/>
    <col min="4089" max="4089" width="11.140625" style="1" bestFit="1" customWidth="1"/>
    <col min="4090" max="4090" width="11" style="1" customWidth="1"/>
    <col min="4091" max="4091" width="10.42578125" style="1" customWidth="1"/>
    <col min="4092" max="4092" width="11.28515625" style="1" customWidth="1"/>
    <col min="4093" max="4094" width="9.140625" style="1" bestFit="1" customWidth="1"/>
    <col min="4095" max="4096" width="11.140625" style="1" bestFit="1" customWidth="1"/>
    <col min="4097" max="4097" width="11.5703125" style="1" bestFit="1" customWidth="1"/>
    <col min="4098" max="4098" width="9.140625" style="1" bestFit="1" customWidth="1"/>
    <col min="4099" max="4099" width="10.28515625" style="1" customWidth="1"/>
    <col min="4100" max="4338" width="9.140625" style="1"/>
    <col min="4339" max="4339" width="4.28515625" style="1" bestFit="1" customWidth="1"/>
    <col min="4340" max="4340" width="6.85546875" style="1" bestFit="1" customWidth="1"/>
    <col min="4341" max="4341" width="11" style="1" customWidth="1"/>
    <col min="4342" max="4342" width="11.140625" style="1" bestFit="1" customWidth="1"/>
    <col min="4343" max="4343" width="10.85546875" style="1" customWidth="1"/>
    <col min="4344" max="4344" width="11.5703125" style="1" customWidth="1"/>
    <col min="4345" max="4345" width="11.140625" style="1" bestFit="1" customWidth="1"/>
    <col min="4346" max="4346" width="11" style="1" customWidth="1"/>
    <col min="4347" max="4347" width="10.42578125" style="1" customWidth="1"/>
    <col min="4348" max="4348" width="11.28515625" style="1" customWidth="1"/>
    <col min="4349" max="4350" width="9.140625" style="1" bestFit="1" customWidth="1"/>
    <col min="4351" max="4352" width="11.140625" style="1" bestFit="1" customWidth="1"/>
    <col min="4353" max="4353" width="11.5703125" style="1" bestFit="1" customWidth="1"/>
    <col min="4354" max="4354" width="9.140625" style="1" bestFit="1" customWidth="1"/>
    <col min="4355" max="4355" width="10.28515625" style="1" customWidth="1"/>
    <col min="4356" max="4594" width="9.140625" style="1"/>
    <col min="4595" max="4595" width="4.28515625" style="1" bestFit="1" customWidth="1"/>
    <col min="4596" max="4596" width="6.85546875" style="1" bestFit="1" customWidth="1"/>
    <col min="4597" max="4597" width="11" style="1" customWidth="1"/>
    <col min="4598" max="4598" width="11.140625" style="1" bestFit="1" customWidth="1"/>
    <col min="4599" max="4599" width="10.85546875" style="1" customWidth="1"/>
    <col min="4600" max="4600" width="11.5703125" style="1" customWidth="1"/>
    <col min="4601" max="4601" width="11.140625" style="1" bestFit="1" customWidth="1"/>
    <col min="4602" max="4602" width="11" style="1" customWidth="1"/>
    <col min="4603" max="4603" width="10.42578125" style="1" customWidth="1"/>
    <col min="4604" max="4604" width="11.28515625" style="1" customWidth="1"/>
    <col min="4605" max="4606" width="9.140625" style="1" bestFit="1" customWidth="1"/>
    <col min="4607" max="4608" width="11.140625" style="1" bestFit="1" customWidth="1"/>
    <col min="4609" max="4609" width="11.5703125" style="1" bestFit="1" customWidth="1"/>
    <col min="4610" max="4610" width="9.140625" style="1" bestFit="1" customWidth="1"/>
    <col min="4611" max="4611" width="10.28515625" style="1" customWidth="1"/>
    <col min="4612" max="4850" width="9.140625" style="1"/>
    <col min="4851" max="4851" width="4.28515625" style="1" bestFit="1" customWidth="1"/>
    <col min="4852" max="4852" width="6.85546875" style="1" bestFit="1" customWidth="1"/>
    <col min="4853" max="4853" width="11" style="1" customWidth="1"/>
    <col min="4854" max="4854" width="11.140625" style="1" bestFit="1" customWidth="1"/>
    <col min="4855" max="4855" width="10.85546875" style="1" customWidth="1"/>
    <col min="4856" max="4856" width="11.5703125" style="1" customWidth="1"/>
    <col min="4857" max="4857" width="11.140625" style="1" bestFit="1" customWidth="1"/>
    <col min="4858" max="4858" width="11" style="1" customWidth="1"/>
    <col min="4859" max="4859" width="10.42578125" style="1" customWidth="1"/>
    <col min="4860" max="4860" width="11.28515625" style="1" customWidth="1"/>
    <col min="4861" max="4862" width="9.140625" style="1" bestFit="1" customWidth="1"/>
    <col min="4863" max="4864" width="11.140625" style="1" bestFit="1" customWidth="1"/>
    <col min="4865" max="4865" width="11.5703125" style="1" bestFit="1" customWidth="1"/>
    <col min="4866" max="4866" width="9.140625" style="1" bestFit="1" customWidth="1"/>
    <col min="4867" max="4867" width="10.28515625" style="1" customWidth="1"/>
    <col min="4868" max="5106" width="9.140625" style="1"/>
    <col min="5107" max="5107" width="4.28515625" style="1" bestFit="1" customWidth="1"/>
    <col min="5108" max="5108" width="6.85546875" style="1" bestFit="1" customWidth="1"/>
    <col min="5109" max="5109" width="11" style="1" customWidth="1"/>
    <col min="5110" max="5110" width="11.140625" style="1" bestFit="1" customWidth="1"/>
    <col min="5111" max="5111" width="10.85546875" style="1" customWidth="1"/>
    <col min="5112" max="5112" width="11.5703125" style="1" customWidth="1"/>
    <col min="5113" max="5113" width="11.140625" style="1" bestFit="1" customWidth="1"/>
    <col min="5114" max="5114" width="11" style="1" customWidth="1"/>
    <col min="5115" max="5115" width="10.42578125" style="1" customWidth="1"/>
    <col min="5116" max="5116" width="11.28515625" style="1" customWidth="1"/>
    <col min="5117" max="5118" width="9.140625" style="1" bestFit="1" customWidth="1"/>
    <col min="5119" max="5120" width="11.140625" style="1" bestFit="1" customWidth="1"/>
    <col min="5121" max="5121" width="11.5703125" style="1" bestFit="1" customWidth="1"/>
    <col min="5122" max="5122" width="9.140625" style="1" bestFit="1" customWidth="1"/>
    <col min="5123" max="5123" width="10.28515625" style="1" customWidth="1"/>
    <col min="5124" max="5362" width="9.140625" style="1"/>
    <col min="5363" max="5363" width="4.28515625" style="1" bestFit="1" customWidth="1"/>
    <col min="5364" max="5364" width="6.85546875" style="1" bestFit="1" customWidth="1"/>
    <col min="5365" max="5365" width="11" style="1" customWidth="1"/>
    <col min="5366" max="5366" width="11.140625" style="1" bestFit="1" customWidth="1"/>
    <col min="5367" max="5367" width="10.85546875" style="1" customWidth="1"/>
    <col min="5368" max="5368" width="11.5703125" style="1" customWidth="1"/>
    <col min="5369" max="5369" width="11.140625" style="1" bestFit="1" customWidth="1"/>
    <col min="5370" max="5370" width="11" style="1" customWidth="1"/>
    <col min="5371" max="5371" width="10.42578125" style="1" customWidth="1"/>
    <col min="5372" max="5372" width="11.28515625" style="1" customWidth="1"/>
    <col min="5373" max="5374" width="9.140625" style="1" bestFit="1" customWidth="1"/>
    <col min="5375" max="5376" width="11.140625" style="1" bestFit="1" customWidth="1"/>
    <col min="5377" max="5377" width="11.5703125" style="1" bestFit="1" customWidth="1"/>
    <col min="5378" max="5378" width="9.140625" style="1" bestFit="1" customWidth="1"/>
    <col min="5379" max="5379" width="10.28515625" style="1" customWidth="1"/>
    <col min="5380" max="5618" width="9.140625" style="1"/>
    <col min="5619" max="5619" width="4.28515625" style="1" bestFit="1" customWidth="1"/>
    <col min="5620" max="5620" width="6.85546875" style="1" bestFit="1" customWidth="1"/>
    <col min="5621" max="5621" width="11" style="1" customWidth="1"/>
    <col min="5622" max="5622" width="11.140625" style="1" bestFit="1" customWidth="1"/>
    <col min="5623" max="5623" width="10.85546875" style="1" customWidth="1"/>
    <col min="5624" max="5624" width="11.5703125" style="1" customWidth="1"/>
    <col min="5625" max="5625" width="11.140625" style="1" bestFit="1" customWidth="1"/>
    <col min="5626" max="5626" width="11" style="1" customWidth="1"/>
    <col min="5627" max="5627" width="10.42578125" style="1" customWidth="1"/>
    <col min="5628" max="5628" width="11.28515625" style="1" customWidth="1"/>
    <col min="5629" max="5630" width="9.140625" style="1" bestFit="1" customWidth="1"/>
    <col min="5631" max="5632" width="11.140625" style="1" bestFit="1" customWidth="1"/>
    <col min="5633" max="5633" width="11.5703125" style="1" bestFit="1" customWidth="1"/>
    <col min="5634" max="5634" width="9.140625" style="1" bestFit="1" customWidth="1"/>
    <col min="5635" max="5635" width="10.28515625" style="1" customWidth="1"/>
    <col min="5636" max="5874" width="9.140625" style="1"/>
    <col min="5875" max="5875" width="4.28515625" style="1" bestFit="1" customWidth="1"/>
    <col min="5876" max="5876" width="6.85546875" style="1" bestFit="1" customWidth="1"/>
    <col min="5877" max="5877" width="11" style="1" customWidth="1"/>
    <col min="5878" max="5878" width="11.140625" style="1" bestFit="1" customWidth="1"/>
    <col min="5879" max="5879" width="10.85546875" style="1" customWidth="1"/>
    <col min="5880" max="5880" width="11.5703125" style="1" customWidth="1"/>
    <col min="5881" max="5881" width="11.140625" style="1" bestFit="1" customWidth="1"/>
    <col min="5882" max="5882" width="11" style="1" customWidth="1"/>
    <col min="5883" max="5883" width="10.42578125" style="1" customWidth="1"/>
    <col min="5884" max="5884" width="11.28515625" style="1" customWidth="1"/>
    <col min="5885" max="5886" width="9.140625" style="1" bestFit="1" customWidth="1"/>
    <col min="5887" max="5888" width="11.140625" style="1" bestFit="1" customWidth="1"/>
    <col min="5889" max="5889" width="11.5703125" style="1" bestFit="1" customWidth="1"/>
    <col min="5890" max="5890" width="9.140625" style="1" bestFit="1" customWidth="1"/>
    <col min="5891" max="5891" width="10.28515625" style="1" customWidth="1"/>
    <col min="5892" max="6130" width="9.140625" style="1"/>
    <col min="6131" max="6131" width="4.28515625" style="1" bestFit="1" customWidth="1"/>
    <col min="6132" max="6132" width="6.85546875" style="1" bestFit="1" customWidth="1"/>
    <col min="6133" max="6133" width="11" style="1" customWidth="1"/>
    <col min="6134" max="6134" width="11.140625" style="1" bestFit="1" customWidth="1"/>
    <col min="6135" max="6135" width="10.85546875" style="1" customWidth="1"/>
    <col min="6136" max="6136" width="11.5703125" style="1" customWidth="1"/>
    <col min="6137" max="6137" width="11.140625" style="1" bestFit="1" customWidth="1"/>
    <col min="6138" max="6138" width="11" style="1" customWidth="1"/>
    <col min="6139" max="6139" width="10.42578125" style="1" customWidth="1"/>
    <col min="6140" max="6140" width="11.28515625" style="1" customWidth="1"/>
    <col min="6141" max="6142" width="9.140625" style="1" bestFit="1" customWidth="1"/>
    <col min="6143" max="6144" width="11.140625" style="1" bestFit="1" customWidth="1"/>
    <col min="6145" max="6145" width="11.5703125" style="1" bestFit="1" customWidth="1"/>
    <col min="6146" max="6146" width="9.140625" style="1" bestFit="1" customWidth="1"/>
    <col min="6147" max="6147" width="10.28515625" style="1" customWidth="1"/>
    <col min="6148" max="6386" width="9.140625" style="1"/>
    <col min="6387" max="6387" width="4.28515625" style="1" bestFit="1" customWidth="1"/>
    <col min="6388" max="6388" width="6.85546875" style="1" bestFit="1" customWidth="1"/>
    <col min="6389" max="6389" width="11" style="1" customWidth="1"/>
    <col min="6390" max="6390" width="11.140625" style="1" bestFit="1" customWidth="1"/>
    <col min="6391" max="6391" width="10.85546875" style="1" customWidth="1"/>
    <col min="6392" max="6392" width="11.5703125" style="1" customWidth="1"/>
    <col min="6393" max="6393" width="11.140625" style="1" bestFit="1" customWidth="1"/>
    <col min="6394" max="6394" width="11" style="1" customWidth="1"/>
    <col min="6395" max="6395" width="10.42578125" style="1" customWidth="1"/>
    <col min="6396" max="6396" width="11.28515625" style="1" customWidth="1"/>
    <col min="6397" max="6398" width="9.140625" style="1" bestFit="1" customWidth="1"/>
    <col min="6399" max="6400" width="11.140625" style="1" bestFit="1" customWidth="1"/>
    <col min="6401" max="6401" width="11.5703125" style="1" bestFit="1" customWidth="1"/>
    <col min="6402" max="6402" width="9.140625" style="1" bestFit="1" customWidth="1"/>
    <col min="6403" max="6403" width="10.28515625" style="1" customWidth="1"/>
    <col min="6404" max="6642" width="9.140625" style="1"/>
    <col min="6643" max="6643" width="4.28515625" style="1" bestFit="1" customWidth="1"/>
    <col min="6644" max="6644" width="6.85546875" style="1" bestFit="1" customWidth="1"/>
    <col min="6645" max="6645" width="11" style="1" customWidth="1"/>
    <col min="6646" max="6646" width="11.140625" style="1" bestFit="1" customWidth="1"/>
    <col min="6647" max="6647" width="10.85546875" style="1" customWidth="1"/>
    <col min="6648" max="6648" width="11.5703125" style="1" customWidth="1"/>
    <col min="6649" max="6649" width="11.140625" style="1" bestFit="1" customWidth="1"/>
    <col min="6650" max="6650" width="11" style="1" customWidth="1"/>
    <col min="6651" max="6651" width="10.42578125" style="1" customWidth="1"/>
    <col min="6652" max="6652" width="11.28515625" style="1" customWidth="1"/>
    <col min="6653" max="6654" width="9.140625" style="1" bestFit="1" customWidth="1"/>
    <col min="6655" max="6656" width="11.140625" style="1" bestFit="1" customWidth="1"/>
    <col min="6657" max="6657" width="11.5703125" style="1" bestFit="1" customWidth="1"/>
    <col min="6658" max="6658" width="9.140625" style="1" bestFit="1" customWidth="1"/>
    <col min="6659" max="6659" width="10.28515625" style="1" customWidth="1"/>
    <col min="6660" max="6898" width="9.140625" style="1"/>
    <col min="6899" max="6899" width="4.28515625" style="1" bestFit="1" customWidth="1"/>
    <col min="6900" max="6900" width="6.85546875" style="1" bestFit="1" customWidth="1"/>
    <col min="6901" max="6901" width="11" style="1" customWidth="1"/>
    <col min="6902" max="6902" width="11.140625" style="1" bestFit="1" customWidth="1"/>
    <col min="6903" max="6903" width="10.85546875" style="1" customWidth="1"/>
    <col min="6904" max="6904" width="11.5703125" style="1" customWidth="1"/>
    <col min="6905" max="6905" width="11.140625" style="1" bestFit="1" customWidth="1"/>
    <col min="6906" max="6906" width="11" style="1" customWidth="1"/>
    <col min="6907" max="6907" width="10.42578125" style="1" customWidth="1"/>
    <col min="6908" max="6908" width="11.28515625" style="1" customWidth="1"/>
    <col min="6909" max="6910" width="9.140625" style="1" bestFit="1" customWidth="1"/>
    <col min="6911" max="6912" width="11.140625" style="1" bestFit="1" customWidth="1"/>
    <col min="6913" max="6913" width="11.5703125" style="1" bestFit="1" customWidth="1"/>
    <col min="6914" max="6914" width="9.140625" style="1" bestFit="1" customWidth="1"/>
    <col min="6915" max="6915" width="10.28515625" style="1" customWidth="1"/>
    <col min="6916" max="7154" width="9.140625" style="1"/>
    <col min="7155" max="7155" width="4.28515625" style="1" bestFit="1" customWidth="1"/>
    <col min="7156" max="7156" width="6.85546875" style="1" bestFit="1" customWidth="1"/>
    <col min="7157" max="7157" width="11" style="1" customWidth="1"/>
    <col min="7158" max="7158" width="11.140625" style="1" bestFit="1" customWidth="1"/>
    <col min="7159" max="7159" width="10.85546875" style="1" customWidth="1"/>
    <col min="7160" max="7160" width="11.5703125" style="1" customWidth="1"/>
    <col min="7161" max="7161" width="11.140625" style="1" bestFit="1" customWidth="1"/>
    <col min="7162" max="7162" width="11" style="1" customWidth="1"/>
    <col min="7163" max="7163" width="10.42578125" style="1" customWidth="1"/>
    <col min="7164" max="7164" width="11.28515625" style="1" customWidth="1"/>
    <col min="7165" max="7166" width="9.140625" style="1" bestFit="1" customWidth="1"/>
    <col min="7167" max="7168" width="11.140625" style="1" bestFit="1" customWidth="1"/>
    <col min="7169" max="7169" width="11.5703125" style="1" bestFit="1" customWidth="1"/>
    <col min="7170" max="7170" width="9.140625" style="1" bestFit="1" customWidth="1"/>
    <col min="7171" max="7171" width="10.28515625" style="1" customWidth="1"/>
    <col min="7172" max="7410" width="9.140625" style="1"/>
    <col min="7411" max="7411" width="4.28515625" style="1" bestFit="1" customWidth="1"/>
    <col min="7412" max="7412" width="6.85546875" style="1" bestFit="1" customWidth="1"/>
    <col min="7413" max="7413" width="11" style="1" customWidth="1"/>
    <col min="7414" max="7414" width="11.140625" style="1" bestFit="1" customWidth="1"/>
    <col min="7415" max="7415" width="10.85546875" style="1" customWidth="1"/>
    <col min="7416" max="7416" width="11.5703125" style="1" customWidth="1"/>
    <col min="7417" max="7417" width="11.140625" style="1" bestFit="1" customWidth="1"/>
    <col min="7418" max="7418" width="11" style="1" customWidth="1"/>
    <col min="7419" max="7419" width="10.42578125" style="1" customWidth="1"/>
    <col min="7420" max="7420" width="11.28515625" style="1" customWidth="1"/>
    <col min="7421" max="7422" width="9.140625" style="1" bestFit="1" customWidth="1"/>
    <col min="7423" max="7424" width="11.140625" style="1" bestFit="1" customWidth="1"/>
    <col min="7425" max="7425" width="11.5703125" style="1" bestFit="1" customWidth="1"/>
    <col min="7426" max="7426" width="9.140625" style="1" bestFit="1" customWidth="1"/>
    <col min="7427" max="7427" width="10.28515625" style="1" customWidth="1"/>
    <col min="7428" max="7666" width="9.140625" style="1"/>
    <col min="7667" max="7667" width="4.28515625" style="1" bestFit="1" customWidth="1"/>
    <col min="7668" max="7668" width="6.85546875" style="1" bestFit="1" customWidth="1"/>
    <col min="7669" max="7669" width="11" style="1" customWidth="1"/>
    <col min="7670" max="7670" width="11.140625" style="1" bestFit="1" customWidth="1"/>
    <col min="7671" max="7671" width="10.85546875" style="1" customWidth="1"/>
    <col min="7672" max="7672" width="11.5703125" style="1" customWidth="1"/>
    <col min="7673" max="7673" width="11.140625" style="1" bestFit="1" customWidth="1"/>
    <col min="7674" max="7674" width="11" style="1" customWidth="1"/>
    <col min="7675" max="7675" width="10.42578125" style="1" customWidth="1"/>
    <col min="7676" max="7676" width="11.28515625" style="1" customWidth="1"/>
    <col min="7677" max="7678" width="9.140625" style="1" bestFit="1" customWidth="1"/>
    <col min="7679" max="7680" width="11.140625" style="1" bestFit="1" customWidth="1"/>
    <col min="7681" max="7681" width="11.5703125" style="1" bestFit="1" customWidth="1"/>
    <col min="7682" max="7682" width="9.140625" style="1" bestFit="1" customWidth="1"/>
    <col min="7683" max="7683" width="10.28515625" style="1" customWidth="1"/>
    <col min="7684" max="7922" width="9.140625" style="1"/>
    <col min="7923" max="7923" width="4.28515625" style="1" bestFit="1" customWidth="1"/>
    <col min="7924" max="7924" width="6.85546875" style="1" bestFit="1" customWidth="1"/>
    <col min="7925" max="7925" width="11" style="1" customWidth="1"/>
    <col min="7926" max="7926" width="11.140625" style="1" bestFit="1" customWidth="1"/>
    <col min="7927" max="7927" width="10.85546875" style="1" customWidth="1"/>
    <col min="7928" max="7928" width="11.5703125" style="1" customWidth="1"/>
    <col min="7929" max="7929" width="11.140625" style="1" bestFit="1" customWidth="1"/>
    <col min="7930" max="7930" width="11" style="1" customWidth="1"/>
    <col min="7931" max="7931" width="10.42578125" style="1" customWidth="1"/>
    <col min="7932" max="7932" width="11.28515625" style="1" customWidth="1"/>
    <col min="7933" max="7934" width="9.140625" style="1" bestFit="1" customWidth="1"/>
    <col min="7935" max="7936" width="11.140625" style="1" bestFit="1" customWidth="1"/>
    <col min="7937" max="7937" width="11.5703125" style="1" bestFit="1" customWidth="1"/>
    <col min="7938" max="7938" width="9.140625" style="1" bestFit="1" customWidth="1"/>
    <col min="7939" max="7939" width="10.28515625" style="1" customWidth="1"/>
    <col min="7940" max="8178" width="9.140625" style="1"/>
    <col min="8179" max="8179" width="4.28515625" style="1" bestFit="1" customWidth="1"/>
    <col min="8180" max="8180" width="6.85546875" style="1" bestFit="1" customWidth="1"/>
    <col min="8181" max="8181" width="11" style="1" customWidth="1"/>
    <col min="8182" max="8182" width="11.140625" style="1" bestFit="1" customWidth="1"/>
    <col min="8183" max="8183" width="10.85546875" style="1" customWidth="1"/>
    <col min="8184" max="8184" width="11.5703125" style="1" customWidth="1"/>
    <col min="8185" max="8185" width="11.140625" style="1" bestFit="1" customWidth="1"/>
    <col min="8186" max="8186" width="11" style="1" customWidth="1"/>
    <col min="8187" max="8187" width="10.42578125" style="1" customWidth="1"/>
    <col min="8188" max="8188" width="11.28515625" style="1" customWidth="1"/>
    <col min="8189" max="8190" width="9.140625" style="1" bestFit="1" customWidth="1"/>
    <col min="8191" max="8192" width="11.140625" style="1" bestFit="1" customWidth="1"/>
    <col min="8193" max="8193" width="11.5703125" style="1" bestFit="1" customWidth="1"/>
    <col min="8194" max="8194" width="9.140625" style="1" bestFit="1" customWidth="1"/>
    <col min="8195" max="8195" width="10.28515625" style="1" customWidth="1"/>
    <col min="8196" max="8434" width="9.140625" style="1"/>
    <col min="8435" max="8435" width="4.28515625" style="1" bestFit="1" customWidth="1"/>
    <col min="8436" max="8436" width="6.85546875" style="1" bestFit="1" customWidth="1"/>
    <col min="8437" max="8437" width="11" style="1" customWidth="1"/>
    <col min="8438" max="8438" width="11.140625" style="1" bestFit="1" customWidth="1"/>
    <col min="8439" max="8439" width="10.85546875" style="1" customWidth="1"/>
    <col min="8440" max="8440" width="11.5703125" style="1" customWidth="1"/>
    <col min="8441" max="8441" width="11.140625" style="1" bestFit="1" customWidth="1"/>
    <col min="8442" max="8442" width="11" style="1" customWidth="1"/>
    <col min="8443" max="8443" width="10.42578125" style="1" customWidth="1"/>
    <col min="8444" max="8444" width="11.28515625" style="1" customWidth="1"/>
    <col min="8445" max="8446" width="9.140625" style="1" bestFit="1" customWidth="1"/>
    <col min="8447" max="8448" width="11.140625" style="1" bestFit="1" customWidth="1"/>
    <col min="8449" max="8449" width="11.5703125" style="1" bestFit="1" customWidth="1"/>
    <col min="8450" max="8450" width="9.140625" style="1" bestFit="1" customWidth="1"/>
    <col min="8451" max="8451" width="10.28515625" style="1" customWidth="1"/>
    <col min="8452" max="8690" width="9.140625" style="1"/>
    <col min="8691" max="8691" width="4.28515625" style="1" bestFit="1" customWidth="1"/>
    <col min="8692" max="8692" width="6.85546875" style="1" bestFit="1" customWidth="1"/>
    <col min="8693" max="8693" width="11" style="1" customWidth="1"/>
    <col min="8694" max="8694" width="11.140625" style="1" bestFit="1" customWidth="1"/>
    <col min="8695" max="8695" width="10.85546875" style="1" customWidth="1"/>
    <col min="8696" max="8696" width="11.5703125" style="1" customWidth="1"/>
    <col min="8697" max="8697" width="11.140625" style="1" bestFit="1" customWidth="1"/>
    <col min="8698" max="8698" width="11" style="1" customWidth="1"/>
    <col min="8699" max="8699" width="10.42578125" style="1" customWidth="1"/>
    <col min="8700" max="8700" width="11.28515625" style="1" customWidth="1"/>
    <col min="8701" max="8702" width="9.140625" style="1" bestFit="1" customWidth="1"/>
    <col min="8703" max="8704" width="11.140625" style="1" bestFit="1" customWidth="1"/>
    <col min="8705" max="8705" width="11.5703125" style="1" bestFit="1" customWidth="1"/>
    <col min="8706" max="8706" width="9.140625" style="1" bestFit="1" customWidth="1"/>
    <col min="8707" max="8707" width="10.28515625" style="1" customWidth="1"/>
    <col min="8708" max="8946" width="9.140625" style="1"/>
    <col min="8947" max="8947" width="4.28515625" style="1" bestFit="1" customWidth="1"/>
    <col min="8948" max="8948" width="6.85546875" style="1" bestFit="1" customWidth="1"/>
    <col min="8949" max="8949" width="11" style="1" customWidth="1"/>
    <col min="8950" max="8950" width="11.140625" style="1" bestFit="1" customWidth="1"/>
    <col min="8951" max="8951" width="10.85546875" style="1" customWidth="1"/>
    <col min="8952" max="8952" width="11.5703125" style="1" customWidth="1"/>
    <col min="8953" max="8953" width="11.140625" style="1" bestFit="1" customWidth="1"/>
    <col min="8954" max="8954" width="11" style="1" customWidth="1"/>
    <col min="8955" max="8955" width="10.42578125" style="1" customWidth="1"/>
    <col min="8956" max="8956" width="11.28515625" style="1" customWidth="1"/>
    <col min="8957" max="8958" width="9.140625" style="1" bestFit="1" customWidth="1"/>
    <col min="8959" max="8960" width="11.140625" style="1" bestFit="1" customWidth="1"/>
    <col min="8961" max="8961" width="11.5703125" style="1" bestFit="1" customWidth="1"/>
    <col min="8962" max="8962" width="9.140625" style="1" bestFit="1" customWidth="1"/>
    <col min="8963" max="8963" width="10.28515625" style="1" customWidth="1"/>
    <col min="8964" max="9202" width="9.140625" style="1"/>
    <col min="9203" max="9203" width="4.28515625" style="1" bestFit="1" customWidth="1"/>
    <col min="9204" max="9204" width="6.85546875" style="1" bestFit="1" customWidth="1"/>
    <col min="9205" max="9205" width="11" style="1" customWidth="1"/>
    <col min="9206" max="9206" width="11.140625" style="1" bestFit="1" customWidth="1"/>
    <col min="9207" max="9207" width="10.85546875" style="1" customWidth="1"/>
    <col min="9208" max="9208" width="11.5703125" style="1" customWidth="1"/>
    <col min="9209" max="9209" width="11.140625" style="1" bestFit="1" customWidth="1"/>
    <col min="9210" max="9210" width="11" style="1" customWidth="1"/>
    <col min="9211" max="9211" width="10.42578125" style="1" customWidth="1"/>
    <col min="9212" max="9212" width="11.28515625" style="1" customWidth="1"/>
    <col min="9213" max="9214" width="9.140625" style="1" bestFit="1" customWidth="1"/>
    <col min="9215" max="9216" width="11.140625" style="1" bestFit="1" customWidth="1"/>
    <col min="9217" max="9217" width="11.5703125" style="1" bestFit="1" customWidth="1"/>
    <col min="9218" max="9218" width="9.140625" style="1" bestFit="1" customWidth="1"/>
    <col min="9219" max="9219" width="10.28515625" style="1" customWidth="1"/>
    <col min="9220" max="9458" width="9.140625" style="1"/>
    <col min="9459" max="9459" width="4.28515625" style="1" bestFit="1" customWidth="1"/>
    <col min="9460" max="9460" width="6.85546875" style="1" bestFit="1" customWidth="1"/>
    <col min="9461" max="9461" width="11" style="1" customWidth="1"/>
    <col min="9462" max="9462" width="11.140625" style="1" bestFit="1" customWidth="1"/>
    <col min="9463" max="9463" width="10.85546875" style="1" customWidth="1"/>
    <col min="9464" max="9464" width="11.5703125" style="1" customWidth="1"/>
    <col min="9465" max="9465" width="11.140625" style="1" bestFit="1" customWidth="1"/>
    <col min="9466" max="9466" width="11" style="1" customWidth="1"/>
    <col min="9467" max="9467" width="10.42578125" style="1" customWidth="1"/>
    <col min="9468" max="9468" width="11.28515625" style="1" customWidth="1"/>
    <col min="9469" max="9470" width="9.140625" style="1" bestFit="1" customWidth="1"/>
    <col min="9471" max="9472" width="11.140625" style="1" bestFit="1" customWidth="1"/>
    <col min="9473" max="9473" width="11.5703125" style="1" bestFit="1" customWidth="1"/>
    <col min="9474" max="9474" width="9.140625" style="1" bestFit="1" customWidth="1"/>
    <col min="9475" max="9475" width="10.28515625" style="1" customWidth="1"/>
    <col min="9476" max="9714" width="9.140625" style="1"/>
    <col min="9715" max="9715" width="4.28515625" style="1" bestFit="1" customWidth="1"/>
    <col min="9716" max="9716" width="6.85546875" style="1" bestFit="1" customWidth="1"/>
    <col min="9717" max="9717" width="11" style="1" customWidth="1"/>
    <col min="9718" max="9718" width="11.140625" style="1" bestFit="1" customWidth="1"/>
    <col min="9719" max="9719" width="10.85546875" style="1" customWidth="1"/>
    <col min="9720" max="9720" width="11.5703125" style="1" customWidth="1"/>
    <col min="9721" max="9721" width="11.140625" style="1" bestFit="1" customWidth="1"/>
    <col min="9722" max="9722" width="11" style="1" customWidth="1"/>
    <col min="9723" max="9723" width="10.42578125" style="1" customWidth="1"/>
    <col min="9724" max="9724" width="11.28515625" style="1" customWidth="1"/>
    <col min="9725" max="9726" width="9.140625" style="1" bestFit="1" customWidth="1"/>
    <col min="9727" max="9728" width="11.140625" style="1" bestFit="1" customWidth="1"/>
    <col min="9729" max="9729" width="11.5703125" style="1" bestFit="1" customWidth="1"/>
    <col min="9730" max="9730" width="9.140625" style="1" bestFit="1" customWidth="1"/>
    <col min="9731" max="9731" width="10.28515625" style="1" customWidth="1"/>
    <col min="9732" max="9970" width="9.140625" style="1"/>
    <col min="9971" max="9971" width="4.28515625" style="1" bestFit="1" customWidth="1"/>
    <col min="9972" max="9972" width="6.85546875" style="1" bestFit="1" customWidth="1"/>
    <col min="9973" max="9973" width="11" style="1" customWidth="1"/>
    <col min="9974" max="9974" width="11.140625" style="1" bestFit="1" customWidth="1"/>
    <col min="9975" max="9975" width="10.85546875" style="1" customWidth="1"/>
    <col min="9976" max="9976" width="11.5703125" style="1" customWidth="1"/>
    <col min="9977" max="9977" width="11.140625" style="1" bestFit="1" customWidth="1"/>
    <col min="9978" max="9978" width="11" style="1" customWidth="1"/>
    <col min="9979" max="9979" width="10.42578125" style="1" customWidth="1"/>
    <col min="9980" max="9980" width="11.28515625" style="1" customWidth="1"/>
    <col min="9981" max="9982" width="9.140625" style="1" bestFit="1" customWidth="1"/>
    <col min="9983" max="9984" width="11.140625" style="1" bestFit="1" customWidth="1"/>
    <col min="9985" max="9985" width="11.5703125" style="1" bestFit="1" customWidth="1"/>
    <col min="9986" max="9986" width="9.140625" style="1" bestFit="1" customWidth="1"/>
    <col min="9987" max="9987" width="10.28515625" style="1" customWidth="1"/>
    <col min="9988" max="10226" width="9.140625" style="1"/>
    <col min="10227" max="10227" width="4.28515625" style="1" bestFit="1" customWidth="1"/>
    <col min="10228" max="10228" width="6.85546875" style="1" bestFit="1" customWidth="1"/>
    <col min="10229" max="10229" width="11" style="1" customWidth="1"/>
    <col min="10230" max="10230" width="11.140625" style="1" bestFit="1" customWidth="1"/>
    <col min="10231" max="10231" width="10.85546875" style="1" customWidth="1"/>
    <col min="10232" max="10232" width="11.5703125" style="1" customWidth="1"/>
    <col min="10233" max="10233" width="11.140625" style="1" bestFit="1" customWidth="1"/>
    <col min="10234" max="10234" width="11" style="1" customWidth="1"/>
    <col min="10235" max="10235" width="10.42578125" style="1" customWidth="1"/>
    <col min="10236" max="10236" width="11.28515625" style="1" customWidth="1"/>
    <col min="10237" max="10238" width="9.140625" style="1" bestFit="1" customWidth="1"/>
    <col min="10239" max="10240" width="11.140625" style="1" bestFit="1" customWidth="1"/>
    <col min="10241" max="10241" width="11.5703125" style="1" bestFit="1" customWidth="1"/>
    <col min="10242" max="10242" width="9.140625" style="1" bestFit="1" customWidth="1"/>
    <col min="10243" max="10243" width="10.28515625" style="1" customWidth="1"/>
    <col min="10244" max="10482" width="9.140625" style="1"/>
    <col min="10483" max="10483" width="4.28515625" style="1" bestFit="1" customWidth="1"/>
    <col min="10484" max="10484" width="6.85546875" style="1" bestFit="1" customWidth="1"/>
    <col min="10485" max="10485" width="11" style="1" customWidth="1"/>
    <col min="10486" max="10486" width="11.140625" style="1" bestFit="1" customWidth="1"/>
    <col min="10487" max="10487" width="10.85546875" style="1" customWidth="1"/>
    <col min="10488" max="10488" width="11.5703125" style="1" customWidth="1"/>
    <col min="10489" max="10489" width="11.140625" style="1" bestFit="1" customWidth="1"/>
    <col min="10490" max="10490" width="11" style="1" customWidth="1"/>
    <col min="10491" max="10491" width="10.42578125" style="1" customWidth="1"/>
    <col min="10492" max="10492" width="11.28515625" style="1" customWidth="1"/>
    <col min="10493" max="10494" width="9.140625" style="1" bestFit="1" customWidth="1"/>
    <col min="10495" max="10496" width="11.140625" style="1" bestFit="1" customWidth="1"/>
    <col min="10497" max="10497" width="11.5703125" style="1" bestFit="1" customWidth="1"/>
    <col min="10498" max="10498" width="9.140625" style="1" bestFit="1" customWidth="1"/>
    <col min="10499" max="10499" width="10.28515625" style="1" customWidth="1"/>
    <col min="10500" max="10738" width="9.140625" style="1"/>
    <col min="10739" max="10739" width="4.28515625" style="1" bestFit="1" customWidth="1"/>
    <col min="10740" max="10740" width="6.85546875" style="1" bestFit="1" customWidth="1"/>
    <col min="10741" max="10741" width="11" style="1" customWidth="1"/>
    <col min="10742" max="10742" width="11.140625" style="1" bestFit="1" customWidth="1"/>
    <col min="10743" max="10743" width="10.85546875" style="1" customWidth="1"/>
    <col min="10744" max="10744" width="11.5703125" style="1" customWidth="1"/>
    <col min="10745" max="10745" width="11.140625" style="1" bestFit="1" customWidth="1"/>
    <col min="10746" max="10746" width="11" style="1" customWidth="1"/>
    <col min="10747" max="10747" width="10.42578125" style="1" customWidth="1"/>
    <col min="10748" max="10748" width="11.28515625" style="1" customWidth="1"/>
    <col min="10749" max="10750" width="9.140625" style="1" bestFit="1" customWidth="1"/>
    <col min="10751" max="10752" width="11.140625" style="1" bestFit="1" customWidth="1"/>
    <col min="10753" max="10753" width="11.5703125" style="1" bestFit="1" customWidth="1"/>
    <col min="10754" max="10754" width="9.140625" style="1" bestFit="1" customWidth="1"/>
    <col min="10755" max="10755" width="10.28515625" style="1" customWidth="1"/>
    <col min="10756" max="10994" width="9.140625" style="1"/>
    <col min="10995" max="10995" width="4.28515625" style="1" bestFit="1" customWidth="1"/>
    <col min="10996" max="10996" width="6.85546875" style="1" bestFit="1" customWidth="1"/>
    <col min="10997" max="10997" width="11" style="1" customWidth="1"/>
    <col min="10998" max="10998" width="11.140625" style="1" bestFit="1" customWidth="1"/>
    <col min="10999" max="10999" width="10.85546875" style="1" customWidth="1"/>
    <col min="11000" max="11000" width="11.5703125" style="1" customWidth="1"/>
    <col min="11001" max="11001" width="11.140625" style="1" bestFit="1" customWidth="1"/>
    <col min="11002" max="11002" width="11" style="1" customWidth="1"/>
    <col min="11003" max="11003" width="10.42578125" style="1" customWidth="1"/>
    <col min="11004" max="11004" width="11.28515625" style="1" customWidth="1"/>
    <col min="11005" max="11006" width="9.140625" style="1" bestFit="1" customWidth="1"/>
    <col min="11007" max="11008" width="11.140625" style="1" bestFit="1" customWidth="1"/>
    <col min="11009" max="11009" width="11.5703125" style="1" bestFit="1" customWidth="1"/>
    <col min="11010" max="11010" width="9.140625" style="1" bestFit="1" customWidth="1"/>
    <col min="11011" max="11011" width="10.28515625" style="1" customWidth="1"/>
    <col min="11012" max="11250" width="9.140625" style="1"/>
    <col min="11251" max="11251" width="4.28515625" style="1" bestFit="1" customWidth="1"/>
    <col min="11252" max="11252" width="6.85546875" style="1" bestFit="1" customWidth="1"/>
    <col min="11253" max="11253" width="11" style="1" customWidth="1"/>
    <col min="11254" max="11254" width="11.140625" style="1" bestFit="1" customWidth="1"/>
    <col min="11255" max="11255" width="10.85546875" style="1" customWidth="1"/>
    <col min="11256" max="11256" width="11.5703125" style="1" customWidth="1"/>
    <col min="11257" max="11257" width="11.140625" style="1" bestFit="1" customWidth="1"/>
    <col min="11258" max="11258" width="11" style="1" customWidth="1"/>
    <col min="11259" max="11259" width="10.42578125" style="1" customWidth="1"/>
    <col min="11260" max="11260" width="11.28515625" style="1" customWidth="1"/>
    <col min="11261" max="11262" width="9.140625" style="1" bestFit="1" customWidth="1"/>
    <col min="11263" max="11264" width="11.140625" style="1" bestFit="1" customWidth="1"/>
    <col min="11265" max="11265" width="11.5703125" style="1" bestFit="1" customWidth="1"/>
    <col min="11266" max="11266" width="9.140625" style="1" bestFit="1" customWidth="1"/>
    <col min="11267" max="11267" width="10.28515625" style="1" customWidth="1"/>
    <col min="11268" max="11506" width="9.140625" style="1"/>
    <col min="11507" max="11507" width="4.28515625" style="1" bestFit="1" customWidth="1"/>
    <col min="11508" max="11508" width="6.85546875" style="1" bestFit="1" customWidth="1"/>
    <col min="11509" max="11509" width="11" style="1" customWidth="1"/>
    <col min="11510" max="11510" width="11.140625" style="1" bestFit="1" customWidth="1"/>
    <col min="11511" max="11511" width="10.85546875" style="1" customWidth="1"/>
    <col min="11512" max="11512" width="11.5703125" style="1" customWidth="1"/>
    <col min="11513" max="11513" width="11.140625" style="1" bestFit="1" customWidth="1"/>
    <col min="11514" max="11514" width="11" style="1" customWidth="1"/>
    <col min="11515" max="11515" width="10.42578125" style="1" customWidth="1"/>
    <col min="11516" max="11516" width="11.28515625" style="1" customWidth="1"/>
    <col min="11517" max="11518" width="9.140625" style="1" bestFit="1" customWidth="1"/>
    <col min="11519" max="11520" width="11.140625" style="1" bestFit="1" customWidth="1"/>
    <col min="11521" max="11521" width="11.5703125" style="1" bestFit="1" customWidth="1"/>
    <col min="11522" max="11522" width="9.140625" style="1" bestFit="1" customWidth="1"/>
    <col min="11523" max="11523" width="10.28515625" style="1" customWidth="1"/>
    <col min="11524" max="11762" width="9.140625" style="1"/>
    <col min="11763" max="11763" width="4.28515625" style="1" bestFit="1" customWidth="1"/>
    <col min="11764" max="11764" width="6.85546875" style="1" bestFit="1" customWidth="1"/>
    <col min="11765" max="11765" width="11" style="1" customWidth="1"/>
    <col min="11766" max="11766" width="11.140625" style="1" bestFit="1" customWidth="1"/>
    <col min="11767" max="11767" width="10.85546875" style="1" customWidth="1"/>
    <col min="11768" max="11768" width="11.5703125" style="1" customWidth="1"/>
    <col min="11769" max="11769" width="11.140625" style="1" bestFit="1" customWidth="1"/>
    <col min="11770" max="11770" width="11" style="1" customWidth="1"/>
    <col min="11771" max="11771" width="10.42578125" style="1" customWidth="1"/>
    <col min="11772" max="11772" width="11.28515625" style="1" customWidth="1"/>
    <col min="11773" max="11774" width="9.140625" style="1" bestFit="1" customWidth="1"/>
    <col min="11775" max="11776" width="11.140625" style="1" bestFit="1" customWidth="1"/>
    <col min="11777" max="11777" width="11.5703125" style="1" bestFit="1" customWidth="1"/>
    <col min="11778" max="11778" width="9.140625" style="1" bestFit="1" customWidth="1"/>
    <col min="11779" max="11779" width="10.28515625" style="1" customWidth="1"/>
    <col min="11780" max="12018" width="9.140625" style="1"/>
    <col min="12019" max="12019" width="4.28515625" style="1" bestFit="1" customWidth="1"/>
    <col min="12020" max="12020" width="6.85546875" style="1" bestFit="1" customWidth="1"/>
    <col min="12021" max="12021" width="11" style="1" customWidth="1"/>
    <col min="12022" max="12022" width="11.140625" style="1" bestFit="1" customWidth="1"/>
    <col min="12023" max="12023" width="10.85546875" style="1" customWidth="1"/>
    <col min="12024" max="12024" width="11.5703125" style="1" customWidth="1"/>
    <col min="12025" max="12025" width="11.140625" style="1" bestFit="1" customWidth="1"/>
    <col min="12026" max="12026" width="11" style="1" customWidth="1"/>
    <col min="12027" max="12027" width="10.42578125" style="1" customWidth="1"/>
    <col min="12028" max="12028" width="11.28515625" style="1" customWidth="1"/>
    <col min="12029" max="12030" width="9.140625" style="1" bestFit="1" customWidth="1"/>
    <col min="12031" max="12032" width="11.140625" style="1" bestFit="1" customWidth="1"/>
    <col min="12033" max="12033" width="11.5703125" style="1" bestFit="1" customWidth="1"/>
    <col min="12034" max="12034" width="9.140625" style="1" bestFit="1" customWidth="1"/>
    <col min="12035" max="12035" width="10.28515625" style="1" customWidth="1"/>
    <col min="12036" max="12274" width="9.140625" style="1"/>
    <col min="12275" max="12275" width="4.28515625" style="1" bestFit="1" customWidth="1"/>
    <col min="12276" max="12276" width="6.85546875" style="1" bestFit="1" customWidth="1"/>
    <col min="12277" max="12277" width="11" style="1" customWidth="1"/>
    <col min="12278" max="12278" width="11.140625" style="1" bestFit="1" customWidth="1"/>
    <col min="12279" max="12279" width="10.85546875" style="1" customWidth="1"/>
    <col min="12280" max="12280" width="11.5703125" style="1" customWidth="1"/>
    <col min="12281" max="12281" width="11.140625" style="1" bestFit="1" customWidth="1"/>
    <col min="12282" max="12282" width="11" style="1" customWidth="1"/>
    <col min="12283" max="12283" width="10.42578125" style="1" customWidth="1"/>
    <col min="12284" max="12284" width="11.28515625" style="1" customWidth="1"/>
    <col min="12285" max="12286" width="9.140625" style="1" bestFit="1" customWidth="1"/>
    <col min="12287" max="12288" width="11.140625" style="1" bestFit="1" customWidth="1"/>
    <col min="12289" max="12289" width="11.5703125" style="1" bestFit="1" customWidth="1"/>
    <col min="12290" max="12290" width="9.140625" style="1" bestFit="1" customWidth="1"/>
    <col min="12291" max="12291" width="10.28515625" style="1" customWidth="1"/>
    <col min="12292" max="12530" width="9.140625" style="1"/>
    <col min="12531" max="12531" width="4.28515625" style="1" bestFit="1" customWidth="1"/>
    <col min="12532" max="12532" width="6.85546875" style="1" bestFit="1" customWidth="1"/>
    <col min="12533" max="12533" width="11" style="1" customWidth="1"/>
    <col min="12534" max="12534" width="11.140625" style="1" bestFit="1" customWidth="1"/>
    <col min="12535" max="12535" width="10.85546875" style="1" customWidth="1"/>
    <col min="12536" max="12536" width="11.5703125" style="1" customWidth="1"/>
    <col min="12537" max="12537" width="11.140625" style="1" bestFit="1" customWidth="1"/>
    <col min="12538" max="12538" width="11" style="1" customWidth="1"/>
    <col min="12539" max="12539" width="10.42578125" style="1" customWidth="1"/>
    <col min="12540" max="12540" width="11.28515625" style="1" customWidth="1"/>
    <col min="12541" max="12542" width="9.140625" style="1" bestFit="1" customWidth="1"/>
    <col min="12543" max="12544" width="11.140625" style="1" bestFit="1" customWidth="1"/>
    <col min="12545" max="12545" width="11.5703125" style="1" bestFit="1" customWidth="1"/>
    <col min="12546" max="12546" width="9.140625" style="1" bestFit="1" customWidth="1"/>
    <col min="12547" max="12547" width="10.28515625" style="1" customWidth="1"/>
    <col min="12548" max="12786" width="9.140625" style="1"/>
    <col min="12787" max="12787" width="4.28515625" style="1" bestFit="1" customWidth="1"/>
    <col min="12788" max="12788" width="6.85546875" style="1" bestFit="1" customWidth="1"/>
    <col min="12789" max="12789" width="11" style="1" customWidth="1"/>
    <col min="12790" max="12790" width="11.140625" style="1" bestFit="1" customWidth="1"/>
    <col min="12791" max="12791" width="10.85546875" style="1" customWidth="1"/>
    <col min="12792" max="12792" width="11.5703125" style="1" customWidth="1"/>
    <col min="12793" max="12793" width="11.140625" style="1" bestFit="1" customWidth="1"/>
    <col min="12794" max="12794" width="11" style="1" customWidth="1"/>
    <col min="12795" max="12795" width="10.42578125" style="1" customWidth="1"/>
    <col min="12796" max="12796" width="11.28515625" style="1" customWidth="1"/>
    <col min="12797" max="12798" width="9.140625" style="1" bestFit="1" customWidth="1"/>
    <col min="12799" max="12800" width="11.140625" style="1" bestFit="1" customWidth="1"/>
    <col min="12801" max="12801" width="11.5703125" style="1" bestFit="1" customWidth="1"/>
    <col min="12802" max="12802" width="9.140625" style="1" bestFit="1" customWidth="1"/>
    <col min="12803" max="12803" width="10.28515625" style="1" customWidth="1"/>
    <col min="12804" max="13042" width="9.140625" style="1"/>
    <col min="13043" max="13043" width="4.28515625" style="1" bestFit="1" customWidth="1"/>
    <col min="13044" max="13044" width="6.85546875" style="1" bestFit="1" customWidth="1"/>
    <col min="13045" max="13045" width="11" style="1" customWidth="1"/>
    <col min="13046" max="13046" width="11.140625" style="1" bestFit="1" customWidth="1"/>
    <col min="13047" max="13047" width="10.85546875" style="1" customWidth="1"/>
    <col min="13048" max="13048" width="11.5703125" style="1" customWidth="1"/>
    <col min="13049" max="13049" width="11.140625" style="1" bestFit="1" customWidth="1"/>
    <col min="13050" max="13050" width="11" style="1" customWidth="1"/>
    <col min="13051" max="13051" width="10.42578125" style="1" customWidth="1"/>
    <col min="13052" max="13052" width="11.28515625" style="1" customWidth="1"/>
    <col min="13053" max="13054" width="9.140625" style="1" bestFit="1" customWidth="1"/>
    <col min="13055" max="13056" width="11.140625" style="1" bestFit="1" customWidth="1"/>
    <col min="13057" max="13057" width="11.5703125" style="1" bestFit="1" customWidth="1"/>
    <col min="13058" max="13058" width="9.140625" style="1" bestFit="1" customWidth="1"/>
    <col min="13059" max="13059" width="10.28515625" style="1" customWidth="1"/>
    <col min="13060" max="13298" width="9.140625" style="1"/>
    <col min="13299" max="13299" width="4.28515625" style="1" bestFit="1" customWidth="1"/>
    <col min="13300" max="13300" width="6.85546875" style="1" bestFit="1" customWidth="1"/>
    <col min="13301" max="13301" width="11" style="1" customWidth="1"/>
    <col min="13302" max="13302" width="11.140625" style="1" bestFit="1" customWidth="1"/>
    <col min="13303" max="13303" width="10.85546875" style="1" customWidth="1"/>
    <col min="13304" max="13304" width="11.5703125" style="1" customWidth="1"/>
    <col min="13305" max="13305" width="11.140625" style="1" bestFit="1" customWidth="1"/>
    <col min="13306" max="13306" width="11" style="1" customWidth="1"/>
    <col min="13307" max="13307" width="10.42578125" style="1" customWidth="1"/>
    <col min="13308" max="13308" width="11.28515625" style="1" customWidth="1"/>
    <col min="13309" max="13310" width="9.140625" style="1" bestFit="1" customWidth="1"/>
    <col min="13311" max="13312" width="11.140625" style="1" bestFit="1" customWidth="1"/>
    <col min="13313" max="13313" width="11.5703125" style="1" bestFit="1" customWidth="1"/>
    <col min="13314" max="13314" width="9.140625" style="1" bestFit="1" customWidth="1"/>
    <col min="13315" max="13315" width="10.28515625" style="1" customWidth="1"/>
    <col min="13316" max="13554" width="9.140625" style="1"/>
    <col min="13555" max="13555" width="4.28515625" style="1" bestFit="1" customWidth="1"/>
    <col min="13556" max="13556" width="6.85546875" style="1" bestFit="1" customWidth="1"/>
    <col min="13557" max="13557" width="11" style="1" customWidth="1"/>
    <col min="13558" max="13558" width="11.140625" style="1" bestFit="1" customWidth="1"/>
    <col min="13559" max="13559" width="10.85546875" style="1" customWidth="1"/>
    <col min="13560" max="13560" width="11.5703125" style="1" customWidth="1"/>
    <col min="13561" max="13561" width="11.140625" style="1" bestFit="1" customWidth="1"/>
    <col min="13562" max="13562" width="11" style="1" customWidth="1"/>
    <col min="13563" max="13563" width="10.42578125" style="1" customWidth="1"/>
    <col min="13564" max="13564" width="11.28515625" style="1" customWidth="1"/>
    <col min="13565" max="13566" width="9.140625" style="1" bestFit="1" customWidth="1"/>
    <col min="13567" max="13568" width="11.140625" style="1" bestFit="1" customWidth="1"/>
    <col min="13569" max="13569" width="11.5703125" style="1" bestFit="1" customWidth="1"/>
    <col min="13570" max="13570" width="9.140625" style="1" bestFit="1" customWidth="1"/>
    <col min="13571" max="13571" width="10.28515625" style="1" customWidth="1"/>
    <col min="13572" max="13810" width="9.140625" style="1"/>
    <col min="13811" max="13811" width="4.28515625" style="1" bestFit="1" customWidth="1"/>
    <col min="13812" max="13812" width="6.85546875" style="1" bestFit="1" customWidth="1"/>
    <col min="13813" max="13813" width="11" style="1" customWidth="1"/>
    <col min="13814" max="13814" width="11.140625" style="1" bestFit="1" customWidth="1"/>
    <col min="13815" max="13815" width="10.85546875" style="1" customWidth="1"/>
    <col min="13816" max="13816" width="11.5703125" style="1" customWidth="1"/>
    <col min="13817" max="13817" width="11.140625" style="1" bestFit="1" customWidth="1"/>
    <col min="13818" max="13818" width="11" style="1" customWidth="1"/>
    <col min="13819" max="13819" width="10.42578125" style="1" customWidth="1"/>
    <col min="13820" max="13820" width="11.28515625" style="1" customWidth="1"/>
    <col min="13821" max="13822" width="9.140625" style="1" bestFit="1" customWidth="1"/>
    <col min="13823" max="13824" width="11.140625" style="1" bestFit="1" customWidth="1"/>
    <col min="13825" max="13825" width="11.5703125" style="1" bestFit="1" customWidth="1"/>
    <col min="13826" max="13826" width="9.140625" style="1" bestFit="1" customWidth="1"/>
    <col min="13827" max="13827" width="10.28515625" style="1" customWidth="1"/>
    <col min="13828" max="14066" width="9.140625" style="1"/>
    <col min="14067" max="14067" width="4.28515625" style="1" bestFit="1" customWidth="1"/>
    <col min="14068" max="14068" width="6.85546875" style="1" bestFit="1" customWidth="1"/>
    <col min="14069" max="14069" width="11" style="1" customWidth="1"/>
    <col min="14070" max="14070" width="11.140625" style="1" bestFit="1" customWidth="1"/>
    <col min="14071" max="14071" width="10.85546875" style="1" customWidth="1"/>
    <col min="14072" max="14072" width="11.5703125" style="1" customWidth="1"/>
    <col min="14073" max="14073" width="11.140625" style="1" bestFit="1" customWidth="1"/>
    <col min="14074" max="14074" width="11" style="1" customWidth="1"/>
    <col min="14075" max="14075" width="10.42578125" style="1" customWidth="1"/>
    <col min="14076" max="14076" width="11.28515625" style="1" customWidth="1"/>
    <col min="14077" max="14078" width="9.140625" style="1" bestFit="1" customWidth="1"/>
    <col min="14079" max="14080" width="11.140625" style="1" bestFit="1" customWidth="1"/>
    <col min="14081" max="14081" width="11.5703125" style="1" bestFit="1" customWidth="1"/>
    <col min="14082" max="14082" width="9.140625" style="1" bestFit="1" customWidth="1"/>
    <col min="14083" max="14083" width="10.28515625" style="1" customWidth="1"/>
    <col min="14084" max="14322" width="9.140625" style="1"/>
    <col min="14323" max="14323" width="4.28515625" style="1" bestFit="1" customWidth="1"/>
    <col min="14324" max="14324" width="6.85546875" style="1" bestFit="1" customWidth="1"/>
    <col min="14325" max="14325" width="11" style="1" customWidth="1"/>
    <col min="14326" max="14326" width="11.140625" style="1" bestFit="1" customWidth="1"/>
    <col min="14327" max="14327" width="10.85546875" style="1" customWidth="1"/>
    <col min="14328" max="14328" width="11.5703125" style="1" customWidth="1"/>
    <col min="14329" max="14329" width="11.140625" style="1" bestFit="1" customWidth="1"/>
    <col min="14330" max="14330" width="11" style="1" customWidth="1"/>
    <col min="14331" max="14331" width="10.42578125" style="1" customWidth="1"/>
    <col min="14332" max="14332" width="11.28515625" style="1" customWidth="1"/>
    <col min="14333" max="14334" width="9.140625" style="1" bestFit="1" customWidth="1"/>
    <col min="14335" max="14336" width="11.140625" style="1" bestFit="1" customWidth="1"/>
    <col min="14337" max="14337" width="11.5703125" style="1" bestFit="1" customWidth="1"/>
    <col min="14338" max="14338" width="9.140625" style="1" bestFit="1" customWidth="1"/>
    <col min="14339" max="14339" width="10.28515625" style="1" customWidth="1"/>
    <col min="14340" max="14578" width="9.140625" style="1"/>
    <col min="14579" max="14579" width="4.28515625" style="1" bestFit="1" customWidth="1"/>
    <col min="14580" max="14580" width="6.85546875" style="1" bestFit="1" customWidth="1"/>
    <col min="14581" max="14581" width="11" style="1" customWidth="1"/>
    <col min="14582" max="14582" width="11.140625" style="1" bestFit="1" customWidth="1"/>
    <col min="14583" max="14583" width="10.85546875" style="1" customWidth="1"/>
    <col min="14584" max="14584" width="11.5703125" style="1" customWidth="1"/>
    <col min="14585" max="14585" width="11.140625" style="1" bestFit="1" customWidth="1"/>
    <col min="14586" max="14586" width="11" style="1" customWidth="1"/>
    <col min="14587" max="14587" width="10.42578125" style="1" customWidth="1"/>
    <col min="14588" max="14588" width="11.28515625" style="1" customWidth="1"/>
    <col min="14589" max="14590" width="9.140625" style="1" bestFit="1" customWidth="1"/>
    <col min="14591" max="14592" width="11.140625" style="1" bestFit="1" customWidth="1"/>
    <col min="14593" max="14593" width="11.5703125" style="1" bestFit="1" customWidth="1"/>
    <col min="14594" max="14594" width="9.140625" style="1" bestFit="1" customWidth="1"/>
    <col min="14595" max="14595" width="10.28515625" style="1" customWidth="1"/>
    <col min="14596" max="14834" width="9.140625" style="1"/>
    <col min="14835" max="14835" width="4.28515625" style="1" bestFit="1" customWidth="1"/>
    <col min="14836" max="14836" width="6.85546875" style="1" bestFit="1" customWidth="1"/>
    <col min="14837" max="14837" width="11" style="1" customWidth="1"/>
    <col min="14838" max="14838" width="11.140625" style="1" bestFit="1" customWidth="1"/>
    <col min="14839" max="14839" width="10.85546875" style="1" customWidth="1"/>
    <col min="14840" max="14840" width="11.5703125" style="1" customWidth="1"/>
    <col min="14841" max="14841" width="11.140625" style="1" bestFit="1" customWidth="1"/>
    <col min="14842" max="14842" width="11" style="1" customWidth="1"/>
    <col min="14843" max="14843" width="10.42578125" style="1" customWidth="1"/>
    <col min="14844" max="14844" width="11.28515625" style="1" customWidth="1"/>
    <col min="14845" max="14846" width="9.140625" style="1" bestFit="1" customWidth="1"/>
    <col min="14847" max="14848" width="11.140625" style="1" bestFit="1" customWidth="1"/>
    <col min="14849" max="14849" width="11.5703125" style="1" bestFit="1" customWidth="1"/>
    <col min="14850" max="14850" width="9.140625" style="1" bestFit="1" customWidth="1"/>
    <col min="14851" max="14851" width="10.28515625" style="1" customWidth="1"/>
    <col min="14852" max="15090" width="9.140625" style="1"/>
    <col min="15091" max="15091" width="4.28515625" style="1" bestFit="1" customWidth="1"/>
    <col min="15092" max="15092" width="6.85546875" style="1" bestFit="1" customWidth="1"/>
    <col min="15093" max="15093" width="11" style="1" customWidth="1"/>
    <col min="15094" max="15094" width="11.140625" style="1" bestFit="1" customWidth="1"/>
    <col min="15095" max="15095" width="10.85546875" style="1" customWidth="1"/>
    <col min="15096" max="15096" width="11.5703125" style="1" customWidth="1"/>
    <col min="15097" max="15097" width="11.140625" style="1" bestFit="1" customWidth="1"/>
    <col min="15098" max="15098" width="11" style="1" customWidth="1"/>
    <col min="15099" max="15099" width="10.42578125" style="1" customWidth="1"/>
    <col min="15100" max="15100" width="11.28515625" style="1" customWidth="1"/>
    <col min="15101" max="15102" width="9.140625" style="1" bestFit="1" customWidth="1"/>
    <col min="15103" max="15104" width="11.140625" style="1" bestFit="1" customWidth="1"/>
    <col min="15105" max="15105" width="11.5703125" style="1" bestFit="1" customWidth="1"/>
    <col min="15106" max="15106" width="9.140625" style="1" bestFit="1" customWidth="1"/>
    <col min="15107" max="15107" width="10.28515625" style="1" customWidth="1"/>
    <col min="15108" max="15346" width="9.140625" style="1"/>
    <col min="15347" max="15347" width="4.28515625" style="1" bestFit="1" customWidth="1"/>
    <col min="15348" max="15348" width="6.85546875" style="1" bestFit="1" customWidth="1"/>
    <col min="15349" max="15349" width="11" style="1" customWidth="1"/>
    <col min="15350" max="15350" width="11.140625" style="1" bestFit="1" customWidth="1"/>
    <col min="15351" max="15351" width="10.85546875" style="1" customWidth="1"/>
    <col min="15352" max="15352" width="11.5703125" style="1" customWidth="1"/>
    <col min="15353" max="15353" width="11.140625" style="1" bestFit="1" customWidth="1"/>
    <col min="15354" max="15354" width="11" style="1" customWidth="1"/>
    <col min="15355" max="15355" width="10.42578125" style="1" customWidth="1"/>
    <col min="15356" max="15356" width="11.28515625" style="1" customWidth="1"/>
    <col min="15357" max="15358" width="9.140625" style="1" bestFit="1" customWidth="1"/>
    <col min="15359" max="15360" width="11.140625" style="1" bestFit="1" customWidth="1"/>
    <col min="15361" max="15361" width="11.5703125" style="1" bestFit="1" customWidth="1"/>
    <col min="15362" max="15362" width="9.140625" style="1" bestFit="1" customWidth="1"/>
    <col min="15363" max="15363" width="10.28515625" style="1" customWidth="1"/>
    <col min="15364" max="15602" width="9.140625" style="1"/>
    <col min="15603" max="15603" width="4.28515625" style="1" bestFit="1" customWidth="1"/>
    <col min="15604" max="15604" width="6.85546875" style="1" bestFit="1" customWidth="1"/>
    <col min="15605" max="15605" width="11" style="1" customWidth="1"/>
    <col min="15606" max="15606" width="11.140625" style="1" bestFit="1" customWidth="1"/>
    <col min="15607" max="15607" width="10.85546875" style="1" customWidth="1"/>
    <col min="15608" max="15608" width="11.5703125" style="1" customWidth="1"/>
    <col min="15609" max="15609" width="11.140625" style="1" bestFit="1" customWidth="1"/>
    <col min="15610" max="15610" width="11" style="1" customWidth="1"/>
    <col min="15611" max="15611" width="10.42578125" style="1" customWidth="1"/>
    <col min="15612" max="15612" width="11.28515625" style="1" customWidth="1"/>
    <col min="15613" max="15614" width="9.140625" style="1" bestFit="1" customWidth="1"/>
    <col min="15615" max="15616" width="11.140625" style="1" bestFit="1" customWidth="1"/>
    <col min="15617" max="15617" width="11.5703125" style="1" bestFit="1" customWidth="1"/>
    <col min="15618" max="15618" width="9.140625" style="1" bestFit="1" customWidth="1"/>
    <col min="15619" max="15619" width="10.28515625" style="1" customWidth="1"/>
    <col min="15620" max="15858" width="9.140625" style="1"/>
    <col min="15859" max="15859" width="4.28515625" style="1" bestFit="1" customWidth="1"/>
    <col min="15860" max="15860" width="6.85546875" style="1" bestFit="1" customWidth="1"/>
    <col min="15861" max="15861" width="11" style="1" customWidth="1"/>
    <col min="15862" max="15862" width="11.140625" style="1" bestFit="1" customWidth="1"/>
    <col min="15863" max="15863" width="10.85546875" style="1" customWidth="1"/>
    <col min="15864" max="15864" width="11.5703125" style="1" customWidth="1"/>
    <col min="15865" max="15865" width="11.140625" style="1" bestFit="1" customWidth="1"/>
    <col min="15866" max="15866" width="11" style="1" customWidth="1"/>
    <col min="15867" max="15867" width="10.42578125" style="1" customWidth="1"/>
    <col min="15868" max="15868" width="11.28515625" style="1" customWidth="1"/>
    <col min="15869" max="15870" width="9.140625" style="1" bestFit="1" customWidth="1"/>
    <col min="15871" max="15872" width="11.140625" style="1" bestFit="1" customWidth="1"/>
    <col min="15873" max="15873" width="11.5703125" style="1" bestFit="1" customWidth="1"/>
    <col min="15874" max="15874" width="9.140625" style="1" bestFit="1" customWidth="1"/>
    <col min="15875" max="15875" width="10.28515625" style="1" customWidth="1"/>
    <col min="15876" max="16114" width="9.140625" style="1"/>
    <col min="16115" max="16115" width="4.28515625" style="1" bestFit="1" customWidth="1"/>
    <col min="16116" max="16116" width="6.85546875" style="1" bestFit="1" customWidth="1"/>
    <col min="16117" max="16117" width="11" style="1" customWidth="1"/>
    <col min="16118" max="16118" width="11.140625" style="1" bestFit="1" customWidth="1"/>
    <col min="16119" max="16119" width="10.85546875" style="1" customWidth="1"/>
    <col min="16120" max="16120" width="11.5703125" style="1" customWidth="1"/>
    <col min="16121" max="16121" width="11.140625" style="1" bestFit="1" customWidth="1"/>
    <col min="16122" max="16122" width="11" style="1" customWidth="1"/>
    <col min="16123" max="16123" width="10.42578125" style="1" customWidth="1"/>
    <col min="16124" max="16124" width="11.28515625" style="1" customWidth="1"/>
    <col min="16125" max="16126" width="9.140625" style="1" bestFit="1" customWidth="1"/>
    <col min="16127" max="16128" width="11.140625" style="1" bestFit="1" customWidth="1"/>
    <col min="16129" max="16129" width="11.5703125" style="1" bestFit="1" customWidth="1"/>
    <col min="16130" max="16130" width="9.140625" style="1" bestFit="1" customWidth="1"/>
    <col min="16131" max="16131" width="10.28515625" style="1" customWidth="1"/>
    <col min="16132" max="16384" width="9.140625" style="1"/>
  </cols>
  <sheetData>
    <row r="1" spans="1:226" ht="45" customHeight="1">
      <c r="A1" s="2468"/>
      <c r="B1" s="2468"/>
      <c r="C1" s="2468"/>
      <c r="D1" s="2468"/>
      <c r="E1" s="2468"/>
      <c r="F1" s="2468"/>
      <c r="G1" s="2468"/>
      <c r="H1" s="3119" t="s">
        <v>1224</v>
      </c>
      <c r="I1" s="3119"/>
      <c r="J1" s="3119"/>
    </row>
    <row r="2" spans="1:226" ht="66.75" customHeight="1">
      <c r="A2" s="3120" t="s">
        <v>1071</v>
      </c>
      <c r="B2" s="3120"/>
      <c r="C2" s="3120"/>
      <c r="D2" s="3120"/>
      <c r="E2" s="3120"/>
      <c r="F2" s="3120"/>
      <c r="G2" s="3120"/>
      <c r="H2" s="3120"/>
      <c r="I2" s="3120"/>
      <c r="J2" s="3120"/>
    </row>
    <row r="3" spans="1:226" ht="15.75">
      <c r="A3" s="2467"/>
      <c r="B3" s="2467"/>
      <c r="C3" s="2467"/>
      <c r="D3" s="2467"/>
      <c r="E3" s="2467"/>
      <c r="F3" s="2467"/>
      <c r="G3" s="2467"/>
      <c r="H3" s="2467"/>
      <c r="I3" s="2467"/>
      <c r="J3" s="2467"/>
    </row>
    <row r="4" spans="1:226" ht="14.25" customHeight="1" thickBot="1">
      <c r="A4" s="3121" t="s">
        <v>9</v>
      </c>
      <c r="B4" s="3121"/>
      <c r="C4" s="3121"/>
      <c r="D4" s="3121"/>
      <c r="E4" s="3121"/>
      <c r="F4" s="3121"/>
      <c r="G4" s="3121"/>
      <c r="H4" s="3121"/>
      <c r="I4" s="3121"/>
      <c r="J4" s="3121"/>
    </row>
    <row r="5" spans="1:226" ht="17.25" customHeight="1">
      <c r="A5" s="3122" t="s">
        <v>6</v>
      </c>
      <c r="B5" s="3124" t="s">
        <v>1072</v>
      </c>
      <c r="C5" s="3126" t="s">
        <v>0</v>
      </c>
      <c r="D5" s="3127" t="s">
        <v>1</v>
      </c>
      <c r="E5" s="3129" t="s">
        <v>3</v>
      </c>
      <c r="F5" s="3130" t="s">
        <v>1073</v>
      </c>
      <c r="G5" s="3132" t="s">
        <v>2</v>
      </c>
      <c r="H5" s="3132"/>
      <c r="I5" s="3132"/>
      <c r="J5" s="3133"/>
    </row>
    <row r="6" spans="1:226" ht="31.5" customHeight="1">
      <c r="A6" s="3123"/>
      <c r="B6" s="3125"/>
      <c r="C6" s="3125"/>
      <c r="D6" s="3128"/>
      <c r="E6" s="3128"/>
      <c r="F6" s="3131"/>
      <c r="G6" s="2469" t="s">
        <v>1074</v>
      </c>
      <c r="H6" s="2469" t="s">
        <v>1075</v>
      </c>
      <c r="I6" s="2469" t="s">
        <v>1076</v>
      </c>
      <c r="J6" s="2470" t="s">
        <v>1077</v>
      </c>
    </row>
    <row r="7" spans="1:226" s="2475" customFormat="1" ht="14.25" customHeight="1">
      <c r="A7" s="2471" t="s">
        <v>222</v>
      </c>
      <c r="B7" s="2472" t="s">
        <v>223</v>
      </c>
      <c r="C7" s="2472" t="s">
        <v>224</v>
      </c>
      <c r="D7" s="2472" t="s">
        <v>225</v>
      </c>
      <c r="E7" s="2472" t="s">
        <v>226</v>
      </c>
      <c r="F7" s="2473" t="s">
        <v>1078</v>
      </c>
      <c r="G7" s="2473" t="s">
        <v>227</v>
      </c>
      <c r="H7" s="2473" t="s">
        <v>1079</v>
      </c>
      <c r="I7" s="2473" t="s">
        <v>1080</v>
      </c>
      <c r="J7" s="2474" t="s">
        <v>1081</v>
      </c>
      <c r="K7" s="2284"/>
    </row>
    <row r="8" spans="1:226" s="2284" customFormat="1" ht="30" customHeight="1">
      <c r="A8" s="2476" t="s">
        <v>1082</v>
      </c>
      <c r="B8" s="3108" t="s">
        <v>1083</v>
      </c>
      <c r="C8" s="3108"/>
      <c r="D8" s="3108"/>
      <c r="E8" s="3108"/>
      <c r="F8" s="2477">
        <f>F10+F18+F26+F47+F60+F78+F94+F131+F144+F157+F190+F203+F223+F237+F256+F279+F348+F359+F370+F408+F444+F461+F484+F509+F534+F557+F604+F626+F647+F684</f>
        <v>182380003</v>
      </c>
      <c r="G8" s="2477">
        <f t="shared" ref="G8:J8" si="0">G10+G18+G26+G47+G60+G78+G94+G131+G144+G157+G190+G203+G223+G237+G256+G279+G348+G359+G370+G408+G444+G461+G484+G509+G534+G557+G604+G626+G647+G684</f>
        <v>42826168</v>
      </c>
      <c r="H8" s="2477">
        <f t="shared" si="0"/>
        <v>84224975</v>
      </c>
      <c r="I8" s="2477">
        <f t="shared" si="0"/>
        <v>55328860</v>
      </c>
      <c r="J8" s="2478">
        <f t="shared" si="0"/>
        <v>0</v>
      </c>
    </row>
    <row r="9" spans="1:226" s="2310" customFormat="1" ht="15" customHeight="1">
      <c r="A9" s="3109"/>
      <c r="B9" s="3110"/>
      <c r="C9" s="3110"/>
      <c r="D9" s="3110"/>
      <c r="E9" s="3110"/>
      <c r="F9" s="3110"/>
      <c r="G9" s="3110"/>
      <c r="H9" s="3110"/>
      <c r="I9" s="3110"/>
      <c r="J9" s="3111"/>
      <c r="K9" s="2284"/>
    </row>
    <row r="10" spans="1:226" s="2485" customFormat="1" ht="22.5">
      <c r="A10" s="3112" t="s">
        <v>1084</v>
      </c>
      <c r="B10" s="3113" t="s">
        <v>1085</v>
      </c>
      <c r="C10" s="3114"/>
      <c r="D10" s="3114"/>
      <c r="E10" s="2479" t="s">
        <v>1086</v>
      </c>
      <c r="F10" s="2480">
        <f>SUM(F11,F15)</f>
        <v>1560786</v>
      </c>
      <c r="G10" s="2480">
        <f>SUM(G11,G15)</f>
        <v>0</v>
      </c>
      <c r="H10" s="2480">
        <f>SUM(H11,H15)</f>
        <v>0</v>
      </c>
      <c r="I10" s="2480">
        <f>SUM(I11,I15)</f>
        <v>1560786</v>
      </c>
      <c r="J10" s="2481">
        <f>SUM(J11,J15)</f>
        <v>0</v>
      </c>
      <c r="K10" s="2482"/>
      <c r="L10" s="2483"/>
      <c r="M10" s="2484"/>
      <c r="N10" s="2484"/>
      <c r="O10" s="2484"/>
      <c r="P10" s="2484"/>
      <c r="Q10" s="2484"/>
      <c r="R10" s="2484"/>
      <c r="S10" s="2484"/>
      <c r="T10" s="2484"/>
      <c r="U10" s="2484"/>
      <c r="V10" s="2484"/>
      <c r="W10" s="2484"/>
      <c r="X10" s="2484"/>
      <c r="Y10" s="2484"/>
      <c r="Z10" s="2484"/>
      <c r="AA10" s="2484"/>
      <c r="AB10" s="2484"/>
      <c r="AC10" s="2484"/>
      <c r="AD10" s="2484"/>
      <c r="AE10" s="2484"/>
      <c r="AF10" s="2484"/>
      <c r="AG10" s="2484"/>
      <c r="AH10" s="2484"/>
      <c r="AI10" s="2484"/>
      <c r="AJ10" s="2484"/>
      <c r="AK10" s="2484"/>
      <c r="AL10" s="2484"/>
      <c r="AM10" s="2484"/>
      <c r="AN10" s="2484"/>
      <c r="AO10" s="2484"/>
      <c r="AP10" s="2484"/>
      <c r="AQ10" s="2484"/>
      <c r="AR10" s="2484"/>
      <c r="AS10" s="2484"/>
      <c r="AT10" s="2484"/>
      <c r="AU10" s="2484"/>
      <c r="AV10" s="2484"/>
      <c r="AW10" s="2484"/>
      <c r="AX10" s="2484"/>
      <c r="AY10" s="2484"/>
      <c r="AZ10" s="2484"/>
      <c r="BA10" s="2484"/>
      <c r="BB10" s="2484"/>
      <c r="BC10" s="2484"/>
      <c r="BD10" s="2484"/>
      <c r="BE10" s="2484"/>
      <c r="BF10" s="2484"/>
      <c r="BG10" s="2484"/>
      <c r="BH10" s="2484"/>
      <c r="BI10" s="2484"/>
      <c r="BJ10" s="2484"/>
      <c r="BK10" s="2484"/>
      <c r="BL10" s="2484"/>
      <c r="BM10" s="2484"/>
      <c r="BN10" s="2484"/>
      <c r="BO10" s="2484"/>
      <c r="BP10" s="2484"/>
      <c r="BQ10" s="2484"/>
      <c r="BR10" s="2484"/>
      <c r="BS10" s="2484"/>
      <c r="BT10" s="2484"/>
      <c r="BU10" s="2484"/>
      <c r="BV10" s="2484"/>
      <c r="BW10" s="2484"/>
      <c r="BX10" s="2484"/>
      <c r="BY10" s="2484"/>
      <c r="BZ10" s="2484"/>
      <c r="CA10" s="2484"/>
      <c r="CB10" s="2484"/>
      <c r="CC10" s="2484"/>
      <c r="CD10" s="2484"/>
      <c r="CE10" s="2484"/>
      <c r="CF10" s="2484"/>
      <c r="CG10" s="2484"/>
      <c r="CH10" s="2484"/>
      <c r="CI10" s="2484"/>
      <c r="CJ10" s="2484"/>
      <c r="CK10" s="2484"/>
      <c r="CL10" s="2484"/>
      <c r="CM10" s="2484"/>
      <c r="CN10" s="2484"/>
      <c r="CO10" s="2484"/>
      <c r="CP10" s="2484"/>
      <c r="CQ10" s="2484"/>
      <c r="CR10" s="2484"/>
      <c r="CS10" s="2484"/>
      <c r="CT10" s="2484"/>
      <c r="CU10" s="2484"/>
      <c r="CV10" s="2484"/>
      <c r="CW10" s="2484"/>
      <c r="CX10" s="2484"/>
      <c r="CY10" s="2484"/>
      <c r="CZ10" s="2484"/>
      <c r="DA10" s="2484"/>
      <c r="DB10" s="2484"/>
      <c r="DC10" s="2484"/>
      <c r="DD10" s="2484"/>
      <c r="DE10" s="2484"/>
      <c r="DF10" s="2484"/>
      <c r="DG10" s="2484"/>
      <c r="DH10" s="2484"/>
      <c r="DI10" s="2484"/>
      <c r="DJ10" s="2484"/>
      <c r="DK10" s="2484"/>
      <c r="DL10" s="2484"/>
      <c r="DM10" s="2484"/>
      <c r="DN10" s="2484"/>
      <c r="DO10" s="2484"/>
      <c r="DP10" s="2484"/>
      <c r="DQ10" s="2484"/>
      <c r="DR10" s="2484"/>
      <c r="DS10" s="2484"/>
      <c r="DT10" s="2484"/>
      <c r="DU10" s="2484"/>
      <c r="DV10" s="2484"/>
      <c r="DW10" s="2484"/>
      <c r="DX10" s="2484"/>
      <c r="DY10" s="2484"/>
      <c r="DZ10" s="2484"/>
      <c r="EA10" s="2484"/>
      <c r="EB10" s="2484"/>
      <c r="EC10" s="2484"/>
      <c r="ED10" s="2484"/>
      <c r="EE10" s="2484"/>
      <c r="EF10" s="2484"/>
      <c r="EG10" s="2484"/>
      <c r="EH10" s="2484"/>
      <c r="EI10" s="2484"/>
      <c r="EJ10" s="2484"/>
      <c r="EK10" s="2484"/>
      <c r="EL10" s="2484"/>
      <c r="EM10" s="2484"/>
      <c r="EN10" s="2484"/>
      <c r="EO10" s="2484"/>
      <c r="EP10" s="2484"/>
      <c r="EQ10" s="2484"/>
      <c r="ER10" s="2484"/>
      <c r="ES10" s="2484"/>
      <c r="ET10" s="2484"/>
      <c r="EU10" s="2484"/>
      <c r="EV10" s="2484"/>
      <c r="EW10" s="2484"/>
      <c r="EX10" s="2484"/>
      <c r="EY10" s="2484"/>
      <c r="EZ10" s="2484"/>
      <c r="FA10" s="2484"/>
      <c r="FB10" s="2484"/>
      <c r="FC10" s="2484"/>
      <c r="FD10" s="2484"/>
      <c r="FE10" s="2484"/>
      <c r="FF10" s="2484"/>
      <c r="FG10" s="2484"/>
      <c r="FH10" s="2484"/>
      <c r="FI10" s="2484"/>
      <c r="FJ10" s="2484"/>
      <c r="FK10" s="2484"/>
      <c r="FL10" s="2484"/>
      <c r="FM10" s="2484"/>
      <c r="FN10" s="2484"/>
      <c r="FO10" s="2484"/>
      <c r="FP10" s="2484"/>
      <c r="FQ10" s="2484"/>
      <c r="FR10" s="2484"/>
      <c r="FS10" s="2484"/>
      <c r="FT10" s="2484"/>
      <c r="FU10" s="2484"/>
      <c r="FV10" s="2484"/>
      <c r="FW10" s="2484"/>
      <c r="FX10" s="2484"/>
      <c r="FY10" s="2484"/>
      <c r="FZ10" s="2484"/>
      <c r="GA10" s="2484"/>
      <c r="GB10" s="2484"/>
      <c r="GC10" s="2484"/>
      <c r="GD10" s="2484"/>
      <c r="GE10" s="2484"/>
      <c r="GF10" s="2484"/>
      <c r="GG10" s="2484"/>
      <c r="GH10" s="2484"/>
      <c r="GI10" s="2484"/>
      <c r="GJ10" s="2484"/>
      <c r="GK10" s="2484"/>
      <c r="GL10" s="2484"/>
      <c r="GM10" s="2484"/>
      <c r="GN10" s="2484"/>
      <c r="GO10" s="2484"/>
      <c r="GP10" s="2484"/>
      <c r="GQ10" s="2484"/>
      <c r="GR10" s="2484"/>
      <c r="GS10" s="2484"/>
      <c r="GT10" s="2484"/>
      <c r="GU10" s="2484"/>
      <c r="GV10" s="2484"/>
      <c r="GW10" s="2484"/>
      <c r="GX10" s="2484"/>
      <c r="GY10" s="2484"/>
      <c r="GZ10" s="2484"/>
      <c r="HA10" s="2484"/>
      <c r="HB10" s="2484"/>
      <c r="HC10" s="2484"/>
      <c r="HD10" s="2484"/>
      <c r="HE10" s="2484"/>
      <c r="HF10" s="2484"/>
      <c r="HG10" s="2484"/>
      <c r="HH10" s="2484"/>
      <c r="HI10" s="2484"/>
      <c r="HJ10" s="2484"/>
      <c r="HK10" s="2484"/>
      <c r="HL10" s="2484"/>
      <c r="HM10" s="2484"/>
      <c r="HN10" s="2484"/>
      <c r="HO10" s="2484"/>
      <c r="HP10" s="2484"/>
      <c r="HQ10" s="2484"/>
      <c r="HR10" s="2484"/>
    </row>
    <row r="11" spans="1:226" s="2485" customFormat="1" ht="15" customHeight="1">
      <c r="A11" s="3112"/>
      <c r="B11" s="3113"/>
      <c r="C11" s="3114"/>
      <c r="D11" s="3114"/>
      <c r="E11" s="2486" t="s">
        <v>739</v>
      </c>
      <c r="F11" s="2487">
        <f>SUM(F12:F14)</f>
        <v>0</v>
      </c>
      <c r="G11" s="2487">
        <f>SUM(G12:G14)</f>
        <v>0</v>
      </c>
      <c r="H11" s="2487">
        <f>SUM(H12:H14)</f>
        <v>0</v>
      </c>
      <c r="I11" s="2487">
        <f>SUM(I12:I14)</f>
        <v>0</v>
      </c>
      <c r="J11" s="2488">
        <f>SUM(J12:J14)</f>
        <v>0</v>
      </c>
      <c r="K11" s="2482"/>
    </row>
    <row r="12" spans="1:226" s="2485" customFormat="1" ht="15" hidden="1" customHeight="1">
      <c r="A12" s="3112"/>
      <c r="B12" s="3113"/>
      <c r="C12" s="3114"/>
      <c r="D12" s="3114"/>
      <c r="E12" s="2489"/>
      <c r="F12" s="2490">
        <f>SUM(G12:J12)</f>
        <v>0</v>
      </c>
      <c r="G12" s="2490"/>
      <c r="H12" s="2490"/>
      <c r="I12" s="2490"/>
      <c r="J12" s="2491"/>
      <c r="K12" s="2482"/>
    </row>
    <row r="13" spans="1:226" s="2485" customFormat="1" ht="15" hidden="1" customHeight="1">
      <c r="A13" s="3112"/>
      <c r="B13" s="3113"/>
      <c r="C13" s="3114"/>
      <c r="D13" s="3114"/>
      <c r="E13" s="2489"/>
      <c r="F13" s="2490">
        <f>SUM(G13:J13)</f>
        <v>0</v>
      </c>
      <c r="G13" s="2490"/>
      <c r="H13" s="2490"/>
      <c r="I13" s="2490"/>
      <c r="J13" s="2491"/>
      <c r="K13" s="2482"/>
    </row>
    <row r="14" spans="1:226" s="2485" customFormat="1" ht="15" hidden="1" customHeight="1">
      <c r="A14" s="3112"/>
      <c r="B14" s="3113"/>
      <c r="C14" s="3114"/>
      <c r="D14" s="3114"/>
      <c r="E14" s="2489"/>
      <c r="F14" s="2490">
        <f>SUM(G14:J14)</f>
        <v>0</v>
      </c>
      <c r="G14" s="2490"/>
      <c r="H14" s="2490"/>
      <c r="I14" s="2490"/>
      <c r="J14" s="2491"/>
      <c r="K14" s="2482"/>
    </row>
    <row r="15" spans="1:226" s="2485" customFormat="1" ht="15" customHeight="1">
      <c r="A15" s="3112"/>
      <c r="B15" s="3113"/>
      <c r="C15" s="3114"/>
      <c r="D15" s="3114"/>
      <c r="E15" s="2492" t="s">
        <v>1087</v>
      </c>
      <c r="F15" s="2487">
        <f>SUM(F16:F17)</f>
        <v>1560786</v>
      </c>
      <c r="G15" s="2487">
        <f t="shared" ref="G15:J15" si="1">SUM(G16:G17)</f>
        <v>0</v>
      </c>
      <c r="H15" s="2487">
        <f t="shared" si="1"/>
        <v>0</v>
      </c>
      <c r="I15" s="2487">
        <f t="shared" si="1"/>
        <v>1560786</v>
      </c>
      <c r="J15" s="2488">
        <f t="shared" si="1"/>
        <v>0</v>
      </c>
      <c r="K15" s="2482"/>
    </row>
    <row r="16" spans="1:226" s="2485" customFormat="1" ht="15" customHeight="1">
      <c r="A16" s="3112"/>
      <c r="B16" s="3113"/>
      <c r="C16" s="3115">
        <v>750</v>
      </c>
      <c r="D16" s="3117" t="s">
        <v>767</v>
      </c>
      <c r="E16" s="2489" t="s">
        <v>658</v>
      </c>
      <c r="F16" s="2490">
        <f>SUM(G16:J16)</f>
        <v>20000</v>
      </c>
      <c r="G16" s="2490"/>
      <c r="H16" s="2490"/>
      <c r="I16" s="2490">
        <v>20000</v>
      </c>
      <c r="J16" s="2491"/>
      <c r="K16" s="2482"/>
    </row>
    <row r="17" spans="1:226" s="2485" customFormat="1" ht="15" customHeight="1">
      <c r="A17" s="3112"/>
      <c r="B17" s="3113"/>
      <c r="C17" s="3116"/>
      <c r="D17" s="3118"/>
      <c r="E17" s="2489" t="s">
        <v>659</v>
      </c>
      <c r="F17" s="2490">
        <f>SUM(G17:J17)</f>
        <v>1540786</v>
      </c>
      <c r="G17" s="2490"/>
      <c r="H17" s="2490"/>
      <c r="I17" s="2490">
        <v>1540786</v>
      </c>
      <c r="J17" s="2491"/>
      <c r="K17" s="2482"/>
    </row>
    <row r="18" spans="1:226" s="2485" customFormat="1" ht="22.5">
      <c r="A18" s="3112" t="s">
        <v>1088</v>
      </c>
      <c r="B18" s="3113" t="s">
        <v>1089</v>
      </c>
      <c r="C18" s="3135"/>
      <c r="D18" s="3136"/>
      <c r="E18" s="2479" t="s">
        <v>1086</v>
      </c>
      <c r="F18" s="2480">
        <f>SUM(F19,F23)</f>
        <v>15626054</v>
      </c>
      <c r="G18" s="2480">
        <f>SUM(G19,G23)</f>
        <v>0</v>
      </c>
      <c r="H18" s="2480">
        <f>SUM(H19,H23)</f>
        <v>0</v>
      </c>
      <c r="I18" s="2480">
        <f>SUM(I19,I23)</f>
        <v>15626054</v>
      </c>
      <c r="J18" s="2481">
        <f>SUM(J19,J23)</f>
        <v>0</v>
      </c>
      <c r="K18" s="2482"/>
      <c r="L18" s="2484"/>
      <c r="M18" s="2484"/>
      <c r="N18" s="2484"/>
      <c r="O18" s="2484"/>
      <c r="P18" s="2484"/>
      <c r="Q18" s="2484"/>
      <c r="R18" s="2484"/>
      <c r="S18" s="2484"/>
      <c r="T18" s="2484"/>
      <c r="U18" s="2484"/>
      <c r="V18" s="2484"/>
      <c r="W18" s="2484"/>
      <c r="X18" s="2484"/>
      <c r="Y18" s="2484"/>
      <c r="Z18" s="2484"/>
      <c r="AA18" s="2484"/>
      <c r="AB18" s="2484"/>
      <c r="AC18" s="2484"/>
      <c r="AD18" s="2484"/>
      <c r="AE18" s="2484"/>
      <c r="AF18" s="2484"/>
      <c r="AG18" s="2484"/>
      <c r="AH18" s="2484"/>
      <c r="AI18" s="2484"/>
      <c r="AJ18" s="2484"/>
      <c r="AK18" s="2484"/>
      <c r="AL18" s="2484"/>
      <c r="AM18" s="2484"/>
      <c r="AN18" s="2484"/>
      <c r="AO18" s="2484"/>
      <c r="AP18" s="2484"/>
      <c r="AQ18" s="2484"/>
      <c r="AR18" s="2484"/>
      <c r="AS18" s="2484"/>
      <c r="AT18" s="2484"/>
      <c r="AU18" s="2484"/>
      <c r="AV18" s="2484"/>
      <c r="AW18" s="2484"/>
      <c r="AX18" s="2484"/>
      <c r="AY18" s="2484"/>
      <c r="AZ18" s="2484"/>
      <c r="BA18" s="2484"/>
      <c r="BB18" s="2484"/>
      <c r="BC18" s="2484"/>
      <c r="BD18" s="2484"/>
      <c r="BE18" s="2484"/>
      <c r="BF18" s="2484"/>
      <c r="BG18" s="2484"/>
      <c r="BH18" s="2484"/>
      <c r="BI18" s="2484"/>
      <c r="BJ18" s="2484"/>
      <c r="BK18" s="2484"/>
      <c r="BL18" s="2484"/>
      <c r="BM18" s="2484"/>
      <c r="BN18" s="2484"/>
      <c r="BO18" s="2484"/>
      <c r="BP18" s="2484"/>
      <c r="BQ18" s="2484"/>
      <c r="BR18" s="2484"/>
      <c r="BS18" s="2484"/>
      <c r="BT18" s="2484"/>
      <c r="BU18" s="2484"/>
      <c r="BV18" s="2484"/>
      <c r="BW18" s="2484"/>
      <c r="BX18" s="2484"/>
      <c r="BY18" s="2484"/>
      <c r="BZ18" s="2484"/>
      <c r="CA18" s="2484"/>
      <c r="CB18" s="2484"/>
      <c r="CC18" s="2484"/>
      <c r="CD18" s="2484"/>
      <c r="CE18" s="2484"/>
      <c r="CF18" s="2484"/>
      <c r="CG18" s="2484"/>
      <c r="CH18" s="2484"/>
      <c r="CI18" s="2484"/>
      <c r="CJ18" s="2484"/>
      <c r="CK18" s="2484"/>
      <c r="CL18" s="2484"/>
      <c r="CM18" s="2484"/>
      <c r="CN18" s="2484"/>
      <c r="CO18" s="2484"/>
      <c r="CP18" s="2484"/>
      <c r="CQ18" s="2484"/>
      <c r="CR18" s="2484"/>
      <c r="CS18" s="2484"/>
      <c r="CT18" s="2484"/>
      <c r="CU18" s="2484"/>
      <c r="CV18" s="2484"/>
      <c r="CW18" s="2484"/>
      <c r="CX18" s="2484"/>
      <c r="CY18" s="2484"/>
      <c r="CZ18" s="2484"/>
      <c r="DA18" s="2484"/>
      <c r="DB18" s="2484"/>
      <c r="DC18" s="2484"/>
      <c r="DD18" s="2484"/>
      <c r="DE18" s="2484"/>
      <c r="DF18" s="2484"/>
      <c r="DG18" s="2484"/>
      <c r="DH18" s="2484"/>
      <c r="DI18" s="2484"/>
      <c r="DJ18" s="2484"/>
      <c r="DK18" s="2484"/>
      <c r="DL18" s="2484"/>
      <c r="DM18" s="2484"/>
      <c r="DN18" s="2484"/>
      <c r="DO18" s="2484"/>
      <c r="DP18" s="2484"/>
      <c r="DQ18" s="2484"/>
      <c r="DR18" s="2484"/>
      <c r="DS18" s="2484"/>
      <c r="DT18" s="2484"/>
      <c r="DU18" s="2484"/>
      <c r="DV18" s="2484"/>
      <c r="DW18" s="2484"/>
      <c r="DX18" s="2484"/>
      <c r="DY18" s="2484"/>
      <c r="DZ18" s="2484"/>
      <c r="EA18" s="2484"/>
      <c r="EB18" s="2484"/>
      <c r="EC18" s="2484"/>
      <c r="ED18" s="2484"/>
      <c r="EE18" s="2484"/>
      <c r="EF18" s="2484"/>
      <c r="EG18" s="2484"/>
      <c r="EH18" s="2484"/>
      <c r="EI18" s="2484"/>
      <c r="EJ18" s="2484"/>
      <c r="EK18" s="2484"/>
      <c r="EL18" s="2484"/>
      <c r="EM18" s="2484"/>
      <c r="EN18" s="2484"/>
      <c r="EO18" s="2484"/>
      <c r="EP18" s="2484"/>
      <c r="EQ18" s="2484"/>
      <c r="ER18" s="2484"/>
      <c r="ES18" s="2484"/>
      <c r="ET18" s="2484"/>
      <c r="EU18" s="2484"/>
      <c r="EV18" s="2484"/>
      <c r="EW18" s="2484"/>
      <c r="EX18" s="2484"/>
      <c r="EY18" s="2484"/>
      <c r="EZ18" s="2484"/>
      <c r="FA18" s="2484"/>
      <c r="FB18" s="2484"/>
      <c r="FC18" s="2484"/>
      <c r="FD18" s="2484"/>
      <c r="FE18" s="2484"/>
      <c r="FF18" s="2484"/>
      <c r="FG18" s="2484"/>
      <c r="FH18" s="2484"/>
      <c r="FI18" s="2484"/>
      <c r="FJ18" s="2484"/>
      <c r="FK18" s="2484"/>
      <c r="FL18" s="2484"/>
      <c r="FM18" s="2484"/>
      <c r="FN18" s="2484"/>
      <c r="FO18" s="2484"/>
      <c r="FP18" s="2484"/>
      <c r="FQ18" s="2484"/>
      <c r="FR18" s="2484"/>
      <c r="FS18" s="2484"/>
      <c r="FT18" s="2484"/>
      <c r="FU18" s="2484"/>
      <c r="FV18" s="2484"/>
      <c r="FW18" s="2484"/>
      <c r="FX18" s="2484"/>
      <c r="FY18" s="2484"/>
      <c r="FZ18" s="2484"/>
      <c r="GA18" s="2484"/>
      <c r="GB18" s="2484"/>
      <c r="GC18" s="2484"/>
      <c r="GD18" s="2484"/>
      <c r="GE18" s="2484"/>
      <c r="GF18" s="2484"/>
      <c r="GG18" s="2484"/>
      <c r="GH18" s="2484"/>
      <c r="GI18" s="2484"/>
      <c r="GJ18" s="2484"/>
      <c r="GK18" s="2484"/>
      <c r="GL18" s="2484"/>
      <c r="GM18" s="2484"/>
      <c r="GN18" s="2484"/>
      <c r="GO18" s="2484"/>
      <c r="GP18" s="2484"/>
      <c r="GQ18" s="2484"/>
      <c r="GR18" s="2484"/>
      <c r="GS18" s="2484"/>
      <c r="GT18" s="2484"/>
      <c r="GU18" s="2484"/>
      <c r="GV18" s="2484"/>
      <c r="GW18" s="2484"/>
      <c r="GX18" s="2484"/>
      <c r="GY18" s="2484"/>
      <c r="GZ18" s="2484"/>
      <c r="HA18" s="2484"/>
      <c r="HB18" s="2484"/>
      <c r="HC18" s="2484"/>
      <c r="HD18" s="2484"/>
      <c r="HE18" s="2484"/>
      <c r="HF18" s="2484"/>
      <c r="HG18" s="2484"/>
      <c r="HH18" s="2484"/>
      <c r="HI18" s="2484"/>
      <c r="HJ18" s="2484"/>
      <c r="HK18" s="2484"/>
      <c r="HL18" s="2484"/>
      <c r="HM18" s="2484"/>
      <c r="HN18" s="2484"/>
      <c r="HO18" s="2484"/>
      <c r="HP18" s="2484"/>
      <c r="HQ18" s="2484"/>
      <c r="HR18" s="2484"/>
    </row>
    <row r="19" spans="1:226" s="2485" customFormat="1" ht="15" customHeight="1">
      <c r="A19" s="3112"/>
      <c r="B19" s="3113"/>
      <c r="C19" s="3137"/>
      <c r="D19" s="3138"/>
      <c r="E19" s="2486" t="s">
        <v>739</v>
      </c>
      <c r="F19" s="2487">
        <f>SUM(F20:F22)</f>
        <v>0</v>
      </c>
      <c r="G19" s="2487">
        <f>SUM(G20:G22)</f>
        <v>0</v>
      </c>
      <c r="H19" s="2487">
        <f>SUM(H20:H22)</f>
        <v>0</v>
      </c>
      <c r="I19" s="2487">
        <f>SUM(I20:I22)</f>
        <v>0</v>
      </c>
      <c r="J19" s="2488">
        <f>SUM(J20:J22)</f>
        <v>0</v>
      </c>
      <c r="K19" s="2482"/>
    </row>
    <row r="20" spans="1:226" s="2485" customFormat="1" ht="15" hidden="1" customHeight="1">
      <c r="A20" s="3112"/>
      <c r="B20" s="3113"/>
      <c r="C20" s="2493"/>
      <c r="D20" s="2493"/>
      <c r="E20" s="2489"/>
      <c r="F20" s="2490">
        <f>SUM(G20:J20)</f>
        <v>0</v>
      </c>
      <c r="G20" s="2490"/>
      <c r="H20" s="2490"/>
      <c r="I20" s="2490"/>
      <c r="J20" s="2491"/>
      <c r="K20" s="2482"/>
    </row>
    <row r="21" spans="1:226" s="2485" customFormat="1" ht="15" hidden="1" customHeight="1">
      <c r="A21" s="3112"/>
      <c r="B21" s="3113"/>
      <c r="C21" s="2494"/>
      <c r="D21" s="2494"/>
      <c r="E21" s="2489"/>
      <c r="F21" s="2490">
        <f>SUM(G21:J21)</f>
        <v>0</v>
      </c>
      <c r="G21" s="2490"/>
      <c r="H21" s="2490"/>
      <c r="I21" s="2490"/>
      <c r="J21" s="2491"/>
      <c r="K21" s="2482"/>
    </row>
    <row r="22" spans="1:226" s="2485" customFormat="1" ht="15" hidden="1" customHeight="1">
      <c r="A22" s="3112"/>
      <c r="B22" s="3113"/>
      <c r="C22" s="2493"/>
      <c r="D22" s="2493"/>
      <c r="E22" s="2489"/>
      <c r="F22" s="2490">
        <f>SUM(G22:J22)</f>
        <v>0</v>
      </c>
      <c r="G22" s="2490"/>
      <c r="H22" s="2490"/>
      <c r="I22" s="2490"/>
      <c r="J22" s="2491"/>
      <c r="K22" s="2482"/>
    </row>
    <row r="23" spans="1:226" s="2485" customFormat="1" ht="15" customHeight="1">
      <c r="A23" s="3112"/>
      <c r="B23" s="3113"/>
      <c r="C23" s="2493"/>
      <c r="D23" s="2493"/>
      <c r="E23" s="2492" t="s">
        <v>1087</v>
      </c>
      <c r="F23" s="2487">
        <f>SUM(F24:F25)</f>
        <v>15626054</v>
      </c>
      <c r="G23" s="2487">
        <f t="shared" ref="G23:J23" si="2">SUM(G24:G25)</f>
        <v>0</v>
      </c>
      <c r="H23" s="2487">
        <f t="shared" si="2"/>
        <v>0</v>
      </c>
      <c r="I23" s="2487">
        <f t="shared" si="2"/>
        <v>15626054</v>
      </c>
      <c r="J23" s="2488">
        <f t="shared" si="2"/>
        <v>0</v>
      </c>
      <c r="K23" s="2482"/>
    </row>
    <row r="24" spans="1:226" s="2484" customFormat="1" ht="15" customHeight="1">
      <c r="A24" s="3112"/>
      <c r="B24" s="3113"/>
      <c r="C24" s="2494">
        <v>150</v>
      </c>
      <c r="D24" s="2489" t="s">
        <v>268</v>
      </c>
      <c r="E24" s="2489" t="s">
        <v>658</v>
      </c>
      <c r="F24" s="2490">
        <f t="shared" ref="F24:F25" si="3">SUM(G24:J24)</f>
        <v>11393032</v>
      </c>
      <c r="G24" s="2490"/>
      <c r="H24" s="2490"/>
      <c r="I24" s="2490">
        <v>11393032</v>
      </c>
      <c r="J24" s="2491"/>
      <c r="K24" s="2482"/>
    </row>
    <row r="25" spans="1:226" s="2485" customFormat="1" ht="15" customHeight="1">
      <c r="A25" s="3112"/>
      <c r="B25" s="3113"/>
      <c r="C25" s="2494">
        <v>851</v>
      </c>
      <c r="D25" s="2489" t="s">
        <v>868</v>
      </c>
      <c r="E25" s="2489" t="s">
        <v>658</v>
      </c>
      <c r="F25" s="2490">
        <f t="shared" si="3"/>
        <v>4233022</v>
      </c>
      <c r="G25" s="2490"/>
      <c r="H25" s="2490"/>
      <c r="I25" s="2490">
        <v>4233022</v>
      </c>
      <c r="J25" s="2491"/>
      <c r="K25" s="2482"/>
    </row>
    <row r="26" spans="1:226" s="2485" customFormat="1" ht="22.5" customHeight="1">
      <c r="A26" s="3139" t="s">
        <v>1090</v>
      </c>
      <c r="B26" s="3142" t="s">
        <v>1091</v>
      </c>
      <c r="C26" s="3115">
        <v>750</v>
      </c>
      <c r="D26" s="3117" t="s">
        <v>738</v>
      </c>
      <c r="E26" s="2479" t="s">
        <v>1086</v>
      </c>
      <c r="F26" s="2480">
        <f>SUM(F27,F44)</f>
        <v>2950000</v>
      </c>
      <c r="G26" s="2480">
        <f>SUM(G27,G44)</f>
        <v>442500</v>
      </c>
      <c r="H26" s="2480">
        <f>SUM(H27,H44)</f>
        <v>0</v>
      </c>
      <c r="I26" s="2480">
        <f>SUM(I27,I44)</f>
        <v>2507500</v>
      </c>
      <c r="J26" s="2481">
        <f>SUM(J27,J44)</f>
        <v>0</v>
      </c>
      <c r="K26" s="2495"/>
      <c r="L26" s="2483"/>
      <c r="M26" s="2483"/>
      <c r="N26" s="2483"/>
      <c r="O26" s="2483"/>
      <c r="P26" s="2483"/>
      <c r="Q26" s="2483"/>
      <c r="R26" s="2483"/>
      <c r="S26" s="2483"/>
    </row>
    <row r="27" spans="1:226" s="2485" customFormat="1" ht="21">
      <c r="A27" s="3140"/>
      <c r="B27" s="3143"/>
      <c r="C27" s="3145"/>
      <c r="D27" s="3146"/>
      <c r="E27" s="2486" t="s">
        <v>1092</v>
      </c>
      <c r="F27" s="2487">
        <f>SUM(F28,F33)</f>
        <v>2950000</v>
      </c>
      <c r="G27" s="2487">
        <f>SUM(G28,G33)</f>
        <v>442500</v>
      </c>
      <c r="H27" s="2487">
        <f>SUM(H28,H33)</f>
        <v>0</v>
      </c>
      <c r="I27" s="2487">
        <f>SUM(I28,I33)</f>
        <v>2507500</v>
      </c>
      <c r="J27" s="2488">
        <f>SUM(J28,J33)</f>
        <v>0</v>
      </c>
      <c r="K27" s="2482"/>
      <c r="L27" s="2496"/>
    </row>
    <row r="28" spans="1:226" s="2485" customFormat="1" ht="22.5">
      <c r="A28" s="3140"/>
      <c r="B28" s="3143"/>
      <c r="C28" s="3145"/>
      <c r="D28" s="3146"/>
      <c r="E28" s="2497" t="s">
        <v>1093</v>
      </c>
      <c r="F28" s="2498">
        <f>SUM(F29:F32)</f>
        <v>450000</v>
      </c>
      <c r="G28" s="2498">
        <f>SUM(G29:G32)</f>
        <v>67500</v>
      </c>
      <c r="H28" s="2498">
        <f>SUM(H29:H32)</f>
        <v>0</v>
      </c>
      <c r="I28" s="2498">
        <f>SUM(I29:I32)</f>
        <v>382500</v>
      </c>
      <c r="J28" s="2499">
        <f>SUM(J29:J32)</f>
        <v>0</v>
      </c>
      <c r="K28" s="2482"/>
      <c r="L28" s="2496"/>
    </row>
    <row r="29" spans="1:226" s="2485" customFormat="1" ht="15" hidden="1" customHeight="1">
      <c r="A29" s="3140"/>
      <c r="B29" s="3143"/>
      <c r="C29" s="3145"/>
      <c r="D29" s="3146"/>
      <c r="E29" s="2489" t="s">
        <v>595</v>
      </c>
      <c r="F29" s="2490">
        <f>SUM(G29:J29)</f>
        <v>0</v>
      </c>
      <c r="G29" s="2490"/>
      <c r="H29" s="2490"/>
      <c r="I29" s="2490"/>
      <c r="J29" s="2491"/>
      <c r="K29" s="2482"/>
    </row>
    <row r="30" spans="1:226" s="2485" customFormat="1" ht="15" hidden="1" customHeight="1">
      <c r="A30" s="3140"/>
      <c r="B30" s="3143"/>
      <c r="C30" s="3145"/>
      <c r="D30" s="3146"/>
      <c r="E30" s="2489" t="s">
        <v>596</v>
      </c>
      <c r="F30" s="2490">
        <f>SUM(G30:J30)</f>
        <v>0</v>
      </c>
      <c r="G30" s="2490"/>
      <c r="H30" s="2490"/>
      <c r="I30" s="2490"/>
      <c r="J30" s="2491"/>
      <c r="K30" s="2482"/>
    </row>
    <row r="31" spans="1:226" s="2485" customFormat="1" ht="15" customHeight="1">
      <c r="A31" s="3140"/>
      <c r="B31" s="3143"/>
      <c r="C31" s="3145"/>
      <c r="D31" s="3146"/>
      <c r="E31" s="2489" t="s">
        <v>599</v>
      </c>
      <c r="F31" s="2490">
        <f>SUM(G31:J31)</f>
        <v>382500</v>
      </c>
      <c r="G31" s="2490"/>
      <c r="H31" s="2490"/>
      <c r="I31" s="2490">
        <v>382500</v>
      </c>
      <c r="J31" s="2491"/>
      <c r="K31" s="2482"/>
    </row>
    <row r="32" spans="1:226" s="2485" customFormat="1" ht="15" customHeight="1">
      <c r="A32" s="3140"/>
      <c r="B32" s="3143"/>
      <c r="C32" s="3145"/>
      <c r="D32" s="3146"/>
      <c r="E32" s="2489" t="s">
        <v>600</v>
      </c>
      <c r="F32" s="2490">
        <f>SUM(G32:J32)</f>
        <v>67500</v>
      </c>
      <c r="G32" s="2490">
        <v>67500</v>
      </c>
      <c r="H32" s="2490"/>
      <c r="I32" s="2490"/>
      <c r="J32" s="2491"/>
      <c r="K32" s="2482"/>
    </row>
    <row r="33" spans="1:226" s="2485" customFormat="1" ht="22.5">
      <c r="A33" s="3140"/>
      <c r="B33" s="3143"/>
      <c r="C33" s="3145"/>
      <c r="D33" s="3146"/>
      <c r="E33" s="2497" t="s">
        <v>1094</v>
      </c>
      <c r="F33" s="2498">
        <f>SUM(F34:F43)</f>
        <v>2500000</v>
      </c>
      <c r="G33" s="2498">
        <f>SUM(G34:G43)</f>
        <v>375000</v>
      </c>
      <c r="H33" s="2498">
        <f>SUM(H34:H43)</f>
        <v>0</v>
      </c>
      <c r="I33" s="2498">
        <f>SUM(I34:I43)</f>
        <v>2125000</v>
      </c>
      <c r="J33" s="2499">
        <f>SUM(J34:J43)</f>
        <v>0</v>
      </c>
      <c r="K33" s="2482"/>
      <c r="L33" s="2484"/>
      <c r="M33" s="2484"/>
      <c r="N33" s="2484"/>
      <c r="O33" s="2484"/>
      <c r="P33" s="2484"/>
      <c r="Q33" s="2484"/>
      <c r="R33" s="2484"/>
      <c r="S33" s="2484"/>
      <c r="T33" s="2484"/>
      <c r="U33" s="2484"/>
      <c r="V33" s="2484"/>
      <c r="W33" s="2484"/>
      <c r="X33" s="2484"/>
      <c r="Y33" s="2484"/>
      <c r="Z33" s="2484"/>
      <c r="AA33" s="2484"/>
      <c r="AB33" s="2484"/>
      <c r="AC33" s="2484"/>
      <c r="AD33" s="2484"/>
      <c r="AE33" s="2484"/>
      <c r="AF33" s="2484"/>
      <c r="AG33" s="2484"/>
      <c r="AH33" s="2484"/>
      <c r="AI33" s="2484"/>
      <c r="AJ33" s="2484"/>
      <c r="AK33" s="2484"/>
      <c r="AL33" s="2484"/>
      <c r="AM33" s="2484"/>
      <c r="AN33" s="2484"/>
      <c r="AO33" s="2484"/>
      <c r="AP33" s="2484"/>
      <c r="AQ33" s="2484"/>
      <c r="AR33" s="2484"/>
      <c r="AS33" s="2484"/>
      <c r="AT33" s="2484"/>
      <c r="AU33" s="2484"/>
      <c r="AV33" s="2484"/>
      <c r="AW33" s="2484"/>
      <c r="AX33" s="2484"/>
      <c r="AY33" s="2484"/>
      <c r="AZ33" s="2484"/>
      <c r="BA33" s="2484"/>
      <c r="BB33" s="2484"/>
      <c r="BC33" s="2484"/>
      <c r="BD33" s="2484"/>
      <c r="BE33" s="2484"/>
      <c r="BF33" s="2484"/>
      <c r="BG33" s="2484"/>
      <c r="BH33" s="2484"/>
      <c r="BI33" s="2484"/>
      <c r="BJ33" s="2484"/>
      <c r="BK33" s="2484"/>
      <c r="BL33" s="2484"/>
      <c r="BM33" s="2484"/>
      <c r="BN33" s="2484"/>
      <c r="BO33" s="2484"/>
      <c r="BP33" s="2484"/>
      <c r="BQ33" s="2484"/>
      <c r="BR33" s="2484"/>
      <c r="BS33" s="2484"/>
      <c r="BT33" s="2484"/>
      <c r="BU33" s="2484"/>
      <c r="BV33" s="2484"/>
      <c r="BW33" s="2484"/>
      <c r="BX33" s="2484"/>
      <c r="BY33" s="2484"/>
      <c r="BZ33" s="2484"/>
      <c r="CA33" s="2484"/>
      <c r="CB33" s="2484"/>
      <c r="CC33" s="2484"/>
      <c r="CD33" s="2484"/>
      <c r="CE33" s="2484"/>
      <c r="CF33" s="2484"/>
      <c r="CG33" s="2484"/>
      <c r="CH33" s="2484"/>
      <c r="CI33" s="2484"/>
      <c r="CJ33" s="2484"/>
      <c r="CK33" s="2484"/>
      <c r="CL33" s="2484"/>
      <c r="CM33" s="2484"/>
      <c r="CN33" s="2484"/>
      <c r="CO33" s="2484"/>
      <c r="CP33" s="2484"/>
      <c r="CQ33" s="2484"/>
      <c r="CR33" s="2484"/>
      <c r="CS33" s="2484"/>
      <c r="CT33" s="2484"/>
      <c r="CU33" s="2484"/>
      <c r="CV33" s="2484"/>
      <c r="CW33" s="2484"/>
      <c r="CX33" s="2484"/>
      <c r="CY33" s="2484"/>
      <c r="CZ33" s="2484"/>
      <c r="DA33" s="2484"/>
      <c r="DB33" s="2484"/>
      <c r="DC33" s="2484"/>
      <c r="DD33" s="2484"/>
      <c r="DE33" s="2484"/>
      <c r="DF33" s="2484"/>
      <c r="DG33" s="2484"/>
      <c r="DH33" s="2484"/>
      <c r="DI33" s="2484"/>
      <c r="DJ33" s="2484"/>
      <c r="DK33" s="2484"/>
      <c r="DL33" s="2484"/>
      <c r="DM33" s="2484"/>
      <c r="DN33" s="2484"/>
      <c r="DO33" s="2484"/>
      <c r="DP33" s="2484"/>
      <c r="DQ33" s="2484"/>
      <c r="DR33" s="2484"/>
      <c r="DS33" s="2484"/>
      <c r="DT33" s="2484"/>
      <c r="DU33" s="2484"/>
      <c r="DV33" s="2484"/>
      <c r="DW33" s="2484"/>
      <c r="DX33" s="2484"/>
      <c r="DY33" s="2484"/>
      <c r="DZ33" s="2484"/>
      <c r="EA33" s="2484"/>
      <c r="EB33" s="2484"/>
      <c r="EC33" s="2484"/>
      <c r="ED33" s="2484"/>
      <c r="EE33" s="2484"/>
      <c r="EF33" s="2484"/>
      <c r="EG33" s="2484"/>
      <c r="EH33" s="2484"/>
      <c r="EI33" s="2484"/>
      <c r="EJ33" s="2484"/>
      <c r="EK33" s="2484"/>
      <c r="EL33" s="2484"/>
      <c r="EM33" s="2484"/>
      <c r="EN33" s="2484"/>
      <c r="EO33" s="2484"/>
      <c r="EP33" s="2484"/>
      <c r="EQ33" s="2484"/>
      <c r="ER33" s="2484"/>
      <c r="ES33" s="2484"/>
      <c r="ET33" s="2484"/>
      <c r="EU33" s="2484"/>
      <c r="EV33" s="2484"/>
      <c r="EW33" s="2484"/>
      <c r="EX33" s="2484"/>
      <c r="EY33" s="2484"/>
      <c r="EZ33" s="2484"/>
      <c r="FA33" s="2484"/>
      <c r="FB33" s="2484"/>
      <c r="FC33" s="2484"/>
      <c r="FD33" s="2484"/>
      <c r="FE33" s="2484"/>
      <c r="FF33" s="2484"/>
      <c r="FG33" s="2484"/>
      <c r="FH33" s="2484"/>
      <c r="FI33" s="2484"/>
      <c r="FJ33" s="2484"/>
      <c r="FK33" s="2484"/>
      <c r="FL33" s="2484"/>
      <c r="FM33" s="2484"/>
      <c r="FN33" s="2484"/>
      <c r="FO33" s="2484"/>
      <c r="FP33" s="2484"/>
      <c r="FQ33" s="2484"/>
      <c r="FR33" s="2484"/>
      <c r="FS33" s="2484"/>
      <c r="FT33" s="2484"/>
      <c r="FU33" s="2484"/>
      <c r="FV33" s="2484"/>
      <c r="FW33" s="2484"/>
      <c r="FX33" s="2484"/>
      <c r="FY33" s="2484"/>
      <c r="FZ33" s="2484"/>
      <c r="GA33" s="2484"/>
      <c r="GB33" s="2484"/>
      <c r="GC33" s="2484"/>
      <c r="GD33" s="2484"/>
      <c r="GE33" s="2484"/>
      <c r="GF33" s="2484"/>
      <c r="GG33" s="2484"/>
      <c r="GH33" s="2484"/>
      <c r="GI33" s="2484"/>
      <c r="GJ33" s="2484"/>
      <c r="GK33" s="2484"/>
      <c r="GL33" s="2484"/>
      <c r="GM33" s="2484"/>
      <c r="GN33" s="2484"/>
      <c r="GO33" s="2484"/>
      <c r="GP33" s="2484"/>
      <c r="GQ33" s="2484"/>
      <c r="GR33" s="2484"/>
      <c r="GS33" s="2484"/>
      <c r="GT33" s="2484"/>
      <c r="GU33" s="2484"/>
      <c r="GV33" s="2484"/>
      <c r="GW33" s="2484"/>
      <c r="GX33" s="2484"/>
      <c r="GY33" s="2484"/>
      <c r="GZ33" s="2484"/>
      <c r="HA33" s="2484"/>
      <c r="HB33" s="2484"/>
      <c r="HC33" s="2484"/>
      <c r="HD33" s="2484"/>
      <c r="HE33" s="2484"/>
      <c r="HF33" s="2484"/>
      <c r="HG33" s="2484"/>
      <c r="HH33" s="2484"/>
      <c r="HI33" s="2484"/>
      <c r="HJ33" s="2484"/>
      <c r="HK33" s="2484"/>
      <c r="HL33" s="2484"/>
      <c r="HM33" s="2484"/>
      <c r="HN33" s="2484"/>
      <c r="HO33" s="2484"/>
      <c r="HP33" s="2484"/>
      <c r="HQ33" s="2484"/>
      <c r="HR33" s="2484"/>
    </row>
    <row r="34" spans="1:226" s="2485" customFormat="1" ht="15" customHeight="1">
      <c r="A34" s="3140"/>
      <c r="B34" s="3143"/>
      <c r="C34" s="3145"/>
      <c r="D34" s="3146"/>
      <c r="E34" s="2489" t="s">
        <v>604</v>
      </c>
      <c r="F34" s="2490">
        <f>SUM(G34:J34)</f>
        <v>102000</v>
      </c>
      <c r="G34" s="2490"/>
      <c r="H34" s="2490"/>
      <c r="I34" s="2490">
        <v>102000</v>
      </c>
      <c r="J34" s="2491"/>
      <c r="K34" s="2482"/>
    </row>
    <row r="35" spans="1:226" s="2485" customFormat="1" ht="15" customHeight="1">
      <c r="A35" s="3140"/>
      <c r="B35" s="3143"/>
      <c r="C35" s="3145"/>
      <c r="D35" s="3146"/>
      <c r="E35" s="2489" t="s">
        <v>605</v>
      </c>
      <c r="F35" s="2490">
        <f>SUM(G35:J35)</f>
        <v>18000</v>
      </c>
      <c r="G35" s="2490">
        <v>18000</v>
      </c>
      <c r="H35" s="2490"/>
      <c r="I35" s="2490"/>
      <c r="J35" s="2491"/>
      <c r="K35" s="2482"/>
    </row>
    <row r="36" spans="1:226" s="2485" customFormat="1" ht="15" customHeight="1">
      <c r="A36" s="3140"/>
      <c r="B36" s="3143"/>
      <c r="C36" s="3145"/>
      <c r="D36" s="3146"/>
      <c r="E36" s="2489" t="s">
        <v>608</v>
      </c>
      <c r="F36" s="2490">
        <f t="shared" ref="F36:F43" si="4">SUM(G36:J36)</f>
        <v>1972000</v>
      </c>
      <c r="G36" s="2490"/>
      <c r="H36" s="2490"/>
      <c r="I36" s="2490">
        <v>1972000</v>
      </c>
      <c r="J36" s="2491"/>
      <c r="K36" s="2482"/>
    </row>
    <row r="37" spans="1:226" s="2485" customFormat="1" ht="15" customHeight="1">
      <c r="A37" s="3140"/>
      <c r="B37" s="3143"/>
      <c r="C37" s="3145"/>
      <c r="D37" s="3146"/>
      <c r="E37" s="2489" t="s">
        <v>609</v>
      </c>
      <c r="F37" s="2490">
        <f t="shared" si="4"/>
        <v>348000</v>
      </c>
      <c r="G37" s="2490">
        <v>348000</v>
      </c>
      <c r="H37" s="2490"/>
      <c r="I37" s="2490"/>
      <c r="J37" s="2491"/>
      <c r="K37" s="2482"/>
    </row>
    <row r="38" spans="1:226" s="2485" customFormat="1" ht="15" customHeight="1">
      <c r="A38" s="3140"/>
      <c r="B38" s="3143"/>
      <c r="C38" s="3145"/>
      <c r="D38" s="3146"/>
      <c r="E38" s="2489" t="s">
        <v>612</v>
      </c>
      <c r="F38" s="2490">
        <f t="shared" si="4"/>
        <v>8500</v>
      </c>
      <c r="G38" s="2490"/>
      <c r="H38" s="2490"/>
      <c r="I38" s="2490">
        <v>8500</v>
      </c>
      <c r="J38" s="2491"/>
      <c r="K38" s="2482"/>
    </row>
    <row r="39" spans="1:226" s="2485" customFormat="1" ht="15" customHeight="1">
      <c r="A39" s="3140"/>
      <c r="B39" s="3143"/>
      <c r="C39" s="3145"/>
      <c r="D39" s="3146"/>
      <c r="E39" s="2489" t="s">
        <v>613</v>
      </c>
      <c r="F39" s="2490">
        <f t="shared" si="4"/>
        <v>1500</v>
      </c>
      <c r="G39" s="2490">
        <v>1500</v>
      </c>
      <c r="H39" s="2490"/>
      <c r="I39" s="2490"/>
      <c r="J39" s="2491"/>
      <c r="K39" s="2482"/>
    </row>
    <row r="40" spans="1:226" s="2485" customFormat="1" ht="15" hidden="1" customHeight="1">
      <c r="A40" s="3140"/>
      <c r="B40" s="3143"/>
      <c r="C40" s="3145"/>
      <c r="D40" s="3146"/>
      <c r="E40" s="2489" t="s">
        <v>702</v>
      </c>
      <c r="F40" s="2490">
        <f t="shared" si="4"/>
        <v>0</v>
      </c>
      <c r="G40" s="2490"/>
      <c r="H40" s="2490"/>
      <c r="I40" s="2490"/>
      <c r="J40" s="2491"/>
      <c r="K40" s="2482"/>
    </row>
    <row r="41" spans="1:226" s="2485" customFormat="1" ht="15" hidden="1" customHeight="1">
      <c r="A41" s="3140"/>
      <c r="B41" s="3143"/>
      <c r="C41" s="3145"/>
      <c r="D41" s="3146"/>
      <c r="E41" s="2489" t="s">
        <v>703</v>
      </c>
      <c r="F41" s="2490">
        <f t="shared" si="4"/>
        <v>0</v>
      </c>
      <c r="G41" s="2490"/>
      <c r="H41" s="2490"/>
      <c r="I41" s="2490"/>
      <c r="J41" s="2491"/>
      <c r="K41" s="2482"/>
    </row>
    <row r="42" spans="1:226" s="2485" customFormat="1" ht="15" customHeight="1">
      <c r="A42" s="3140"/>
      <c r="B42" s="3143"/>
      <c r="C42" s="3145"/>
      <c r="D42" s="3146"/>
      <c r="E42" s="2489" t="s">
        <v>756</v>
      </c>
      <c r="F42" s="2490">
        <f t="shared" si="4"/>
        <v>42500</v>
      </c>
      <c r="G42" s="2490"/>
      <c r="H42" s="2490"/>
      <c r="I42" s="2490">
        <v>42500</v>
      </c>
      <c r="J42" s="2491"/>
      <c r="K42" s="2482"/>
    </row>
    <row r="43" spans="1:226" s="2485" customFormat="1" ht="15" customHeight="1">
      <c r="A43" s="3140"/>
      <c r="B43" s="3143"/>
      <c r="C43" s="3145"/>
      <c r="D43" s="3146"/>
      <c r="E43" s="2489" t="s">
        <v>757</v>
      </c>
      <c r="F43" s="2490">
        <f t="shared" si="4"/>
        <v>7500</v>
      </c>
      <c r="G43" s="2490">
        <v>7500</v>
      </c>
      <c r="H43" s="2490"/>
      <c r="I43" s="2490"/>
      <c r="J43" s="2491"/>
      <c r="K43" s="2482"/>
    </row>
    <row r="44" spans="1:226" s="2485" customFormat="1" ht="15" customHeight="1">
      <c r="A44" s="3141"/>
      <c r="B44" s="3144"/>
      <c r="C44" s="3116"/>
      <c r="D44" s="3118"/>
      <c r="E44" s="2492" t="s">
        <v>1087</v>
      </c>
      <c r="F44" s="2487">
        <f>SUM(F45:F46)</f>
        <v>0</v>
      </c>
      <c r="G44" s="2487">
        <f>SUM(G45:G46)</f>
        <v>0</v>
      </c>
      <c r="H44" s="2487">
        <f>SUM(H45:H46)</f>
        <v>0</v>
      </c>
      <c r="I44" s="2487">
        <f>SUM(I45:I46)</f>
        <v>0</v>
      </c>
      <c r="J44" s="2488">
        <f>SUM(J45:J46)</f>
        <v>0</v>
      </c>
      <c r="K44" s="2482"/>
    </row>
    <row r="45" spans="1:226" s="2485" customFormat="1" ht="15" hidden="1" customHeight="1">
      <c r="A45" s="2500"/>
      <c r="B45" s="2501"/>
      <c r="C45" s="2493"/>
      <c r="D45" s="2502"/>
      <c r="E45" s="2489" t="s">
        <v>690</v>
      </c>
      <c r="F45" s="2490">
        <f>SUM(G45:J45)</f>
        <v>0</v>
      </c>
      <c r="G45" s="2490"/>
      <c r="H45" s="2490"/>
      <c r="I45" s="2490"/>
      <c r="J45" s="2491"/>
      <c r="K45" s="2482"/>
    </row>
    <row r="46" spans="1:226" s="2485" customFormat="1" ht="15" hidden="1" customHeight="1">
      <c r="A46" s="2500"/>
      <c r="B46" s="2501"/>
      <c r="C46" s="2493"/>
      <c r="D46" s="2502"/>
      <c r="E46" s="2503">
        <v>6059</v>
      </c>
      <c r="F46" s="2490">
        <f>SUM(G46:J46)</f>
        <v>0</v>
      </c>
      <c r="G46" s="2490"/>
      <c r="H46" s="2490"/>
      <c r="I46" s="2490"/>
      <c r="J46" s="2491"/>
      <c r="K46" s="2482"/>
    </row>
    <row r="47" spans="1:226" s="2485" customFormat="1" ht="22.5">
      <c r="A47" s="3112" t="s">
        <v>1095</v>
      </c>
      <c r="B47" s="3113" t="s">
        <v>1096</v>
      </c>
      <c r="C47" s="3114">
        <v>750</v>
      </c>
      <c r="D47" s="3134" t="s">
        <v>738</v>
      </c>
      <c r="E47" s="2479" t="s">
        <v>1086</v>
      </c>
      <c r="F47" s="2480">
        <f>SUM(F48,F58)</f>
        <v>1466000</v>
      </c>
      <c r="G47" s="2480">
        <f>SUM(G48,G58)</f>
        <v>219900</v>
      </c>
      <c r="H47" s="2480">
        <f>SUM(H48,H58)</f>
        <v>0</v>
      </c>
      <c r="I47" s="2480">
        <f>SUM(I48,I58)</f>
        <v>1246100</v>
      </c>
      <c r="J47" s="2481">
        <f>SUM(J48,J58)</f>
        <v>0</v>
      </c>
      <c r="K47" s="2482"/>
    </row>
    <row r="48" spans="1:226" s="2485" customFormat="1" ht="21">
      <c r="A48" s="3112"/>
      <c r="B48" s="3113"/>
      <c r="C48" s="3114"/>
      <c r="D48" s="3134"/>
      <c r="E48" s="2486" t="s">
        <v>1092</v>
      </c>
      <c r="F48" s="2487">
        <f>SUM(F49,F53)</f>
        <v>1466000</v>
      </c>
      <c r="G48" s="2487">
        <f>SUM(G49,G53)</f>
        <v>219900</v>
      </c>
      <c r="H48" s="2487">
        <f>SUM(H49,H53)</f>
        <v>0</v>
      </c>
      <c r="I48" s="2487">
        <f>SUM(I49,I53)</f>
        <v>1246100</v>
      </c>
      <c r="J48" s="2488">
        <f>SUM(J49,J53)</f>
        <v>0</v>
      </c>
      <c r="K48" s="2482"/>
    </row>
    <row r="49" spans="1:226" s="2485" customFormat="1" ht="22.5" hidden="1">
      <c r="A49" s="3112"/>
      <c r="B49" s="3113"/>
      <c r="C49" s="3114"/>
      <c r="D49" s="3134"/>
      <c r="E49" s="2497" t="s">
        <v>1093</v>
      </c>
      <c r="F49" s="2498">
        <f>SUM(F50:F52)</f>
        <v>0</v>
      </c>
      <c r="G49" s="2498">
        <f>SUM(G50:G52)</f>
        <v>0</v>
      </c>
      <c r="H49" s="2498">
        <f>SUM(H50:H52)</f>
        <v>0</v>
      </c>
      <c r="I49" s="2498">
        <f>SUM(I50:I52)</f>
        <v>0</v>
      </c>
      <c r="J49" s="2499">
        <f>SUM(J50:J52)</f>
        <v>0</v>
      </c>
      <c r="K49" s="2482"/>
    </row>
    <row r="50" spans="1:226" s="2485" customFormat="1" ht="15" hidden="1" customHeight="1">
      <c r="A50" s="3112"/>
      <c r="B50" s="3113"/>
      <c r="C50" s="3114"/>
      <c r="D50" s="3134"/>
      <c r="E50" s="2489"/>
      <c r="F50" s="2490">
        <f>SUM(G50:J50)</f>
        <v>0</v>
      </c>
      <c r="G50" s="2490"/>
      <c r="H50" s="2490"/>
      <c r="I50" s="2490"/>
      <c r="J50" s="2491"/>
      <c r="K50" s="2482"/>
    </row>
    <row r="51" spans="1:226" s="2485" customFormat="1" ht="15" hidden="1" customHeight="1">
      <c r="A51" s="3112"/>
      <c r="B51" s="3113"/>
      <c r="C51" s="3114"/>
      <c r="D51" s="3134"/>
      <c r="E51" s="2489"/>
      <c r="F51" s="2490">
        <f>SUM(G51:J51)</f>
        <v>0</v>
      </c>
      <c r="G51" s="2490"/>
      <c r="H51" s="2490"/>
      <c r="I51" s="2490"/>
      <c r="J51" s="2491"/>
      <c r="K51" s="2482"/>
    </row>
    <row r="52" spans="1:226" s="2485" customFormat="1" ht="12" hidden="1">
      <c r="A52" s="3112"/>
      <c r="B52" s="3113"/>
      <c r="C52" s="3114"/>
      <c r="D52" s="3134"/>
      <c r="E52" s="2489"/>
      <c r="F52" s="2490">
        <f>SUM(G52:J52)</f>
        <v>0</v>
      </c>
      <c r="G52" s="2490"/>
      <c r="H52" s="2490"/>
      <c r="I52" s="2490"/>
      <c r="J52" s="2491"/>
      <c r="K52" s="2482"/>
    </row>
    <row r="53" spans="1:226" s="2485" customFormat="1" ht="22.5">
      <c r="A53" s="3112"/>
      <c r="B53" s="3113"/>
      <c r="C53" s="3114"/>
      <c r="D53" s="3134"/>
      <c r="E53" s="2497" t="s">
        <v>1094</v>
      </c>
      <c r="F53" s="2498">
        <f>SUM(F54:F57)</f>
        <v>1466000</v>
      </c>
      <c r="G53" s="2498">
        <f>SUM(G54:G57)</f>
        <v>219900</v>
      </c>
      <c r="H53" s="2498">
        <f>SUM(H54:H57)</f>
        <v>0</v>
      </c>
      <c r="I53" s="2498">
        <f>SUM(I54:I57)</f>
        <v>1246100</v>
      </c>
      <c r="J53" s="2499">
        <f>SUM(J54:J57)</f>
        <v>0</v>
      </c>
      <c r="K53" s="2482"/>
      <c r="L53" s="2484"/>
      <c r="M53" s="2484"/>
      <c r="N53" s="2484"/>
      <c r="O53" s="2484"/>
      <c r="P53" s="2484"/>
      <c r="Q53" s="2484"/>
      <c r="R53" s="2484"/>
      <c r="S53" s="2484"/>
      <c r="T53" s="2484"/>
      <c r="U53" s="2484"/>
      <c r="V53" s="2484"/>
      <c r="W53" s="2484"/>
      <c r="X53" s="2484"/>
      <c r="Y53" s="2484"/>
      <c r="Z53" s="2484"/>
      <c r="AA53" s="2484"/>
      <c r="AB53" s="2484"/>
      <c r="AC53" s="2484"/>
      <c r="AD53" s="2484"/>
      <c r="AE53" s="2484"/>
      <c r="AF53" s="2484"/>
      <c r="AG53" s="2484"/>
      <c r="AH53" s="2484"/>
      <c r="AI53" s="2484"/>
      <c r="AJ53" s="2484"/>
      <c r="AK53" s="2484"/>
      <c r="AL53" s="2484"/>
      <c r="AM53" s="2484"/>
      <c r="AN53" s="2484"/>
      <c r="AO53" s="2484"/>
      <c r="AP53" s="2484"/>
      <c r="AQ53" s="2484"/>
      <c r="AR53" s="2484"/>
      <c r="AS53" s="2484"/>
      <c r="AT53" s="2484"/>
      <c r="AU53" s="2484"/>
      <c r="AV53" s="2484"/>
      <c r="AW53" s="2484"/>
      <c r="AX53" s="2484"/>
      <c r="AY53" s="2484"/>
      <c r="AZ53" s="2484"/>
      <c r="BA53" s="2484"/>
      <c r="BB53" s="2484"/>
      <c r="BC53" s="2484"/>
      <c r="BD53" s="2484"/>
      <c r="BE53" s="2484"/>
      <c r="BF53" s="2484"/>
      <c r="BG53" s="2484"/>
      <c r="BH53" s="2484"/>
      <c r="BI53" s="2484"/>
      <c r="BJ53" s="2484"/>
      <c r="BK53" s="2484"/>
      <c r="BL53" s="2484"/>
      <c r="BM53" s="2484"/>
      <c r="BN53" s="2484"/>
      <c r="BO53" s="2484"/>
      <c r="BP53" s="2484"/>
      <c r="BQ53" s="2484"/>
      <c r="BR53" s="2484"/>
      <c r="BS53" s="2484"/>
      <c r="BT53" s="2484"/>
      <c r="BU53" s="2484"/>
      <c r="BV53" s="2484"/>
      <c r="BW53" s="2484"/>
      <c r="BX53" s="2484"/>
      <c r="BY53" s="2484"/>
      <c r="BZ53" s="2484"/>
      <c r="CA53" s="2484"/>
      <c r="CB53" s="2484"/>
      <c r="CC53" s="2484"/>
      <c r="CD53" s="2484"/>
      <c r="CE53" s="2484"/>
      <c r="CF53" s="2484"/>
      <c r="CG53" s="2484"/>
      <c r="CH53" s="2484"/>
      <c r="CI53" s="2484"/>
      <c r="CJ53" s="2484"/>
      <c r="CK53" s="2484"/>
      <c r="CL53" s="2484"/>
      <c r="CM53" s="2484"/>
      <c r="CN53" s="2484"/>
      <c r="CO53" s="2484"/>
      <c r="CP53" s="2484"/>
      <c r="CQ53" s="2484"/>
      <c r="CR53" s="2484"/>
      <c r="CS53" s="2484"/>
      <c r="CT53" s="2484"/>
      <c r="CU53" s="2484"/>
      <c r="CV53" s="2484"/>
      <c r="CW53" s="2484"/>
      <c r="CX53" s="2484"/>
      <c r="CY53" s="2484"/>
      <c r="CZ53" s="2484"/>
      <c r="DA53" s="2484"/>
      <c r="DB53" s="2484"/>
      <c r="DC53" s="2484"/>
      <c r="DD53" s="2484"/>
      <c r="DE53" s="2484"/>
      <c r="DF53" s="2484"/>
      <c r="DG53" s="2484"/>
      <c r="DH53" s="2484"/>
      <c r="DI53" s="2484"/>
      <c r="DJ53" s="2484"/>
      <c r="DK53" s="2484"/>
      <c r="DL53" s="2484"/>
      <c r="DM53" s="2484"/>
      <c r="DN53" s="2484"/>
      <c r="DO53" s="2484"/>
      <c r="DP53" s="2484"/>
      <c r="DQ53" s="2484"/>
      <c r="DR53" s="2484"/>
      <c r="DS53" s="2484"/>
      <c r="DT53" s="2484"/>
      <c r="DU53" s="2484"/>
      <c r="DV53" s="2484"/>
      <c r="DW53" s="2484"/>
      <c r="DX53" s="2484"/>
      <c r="DY53" s="2484"/>
      <c r="DZ53" s="2484"/>
      <c r="EA53" s="2484"/>
      <c r="EB53" s="2484"/>
      <c r="EC53" s="2484"/>
      <c r="ED53" s="2484"/>
      <c r="EE53" s="2484"/>
      <c r="EF53" s="2484"/>
      <c r="EG53" s="2484"/>
      <c r="EH53" s="2484"/>
      <c r="EI53" s="2484"/>
      <c r="EJ53" s="2484"/>
      <c r="EK53" s="2484"/>
      <c r="EL53" s="2484"/>
      <c r="EM53" s="2484"/>
      <c r="EN53" s="2484"/>
      <c r="EO53" s="2484"/>
      <c r="EP53" s="2484"/>
      <c r="EQ53" s="2484"/>
      <c r="ER53" s="2484"/>
      <c r="ES53" s="2484"/>
      <c r="ET53" s="2484"/>
      <c r="EU53" s="2484"/>
      <c r="EV53" s="2484"/>
      <c r="EW53" s="2484"/>
      <c r="EX53" s="2484"/>
      <c r="EY53" s="2484"/>
      <c r="EZ53" s="2484"/>
      <c r="FA53" s="2484"/>
      <c r="FB53" s="2484"/>
      <c r="FC53" s="2484"/>
      <c r="FD53" s="2484"/>
      <c r="FE53" s="2484"/>
      <c r="FF53" s="2484"/>
      <c r="FG53" s="2484"/>
      <c r="FH53" s="2484"/>
      <c r="FI53" s="2484"/>
      <c r="FJ53" s="2484"/>
      <c r="FK53" s="2484"/>
      <c r="FL53" s="2484"/>
      <c r="FM53" s="2484"/>
      <c r="FN53" s="2484"/>
      <c r="FO53" s="2484"/>
      <c r="FP53" s="2484"/>
      <c r="FQ53" s="2484"/>
      <c r="FR53" s="2484"/>
      <c r="FS53" s="2484"/>
      <c r="FT53" s="2484"/>
      <c r="FU53" s="2484"/>
      <c r="FV53" s="2484"/>
      <c r="FW53" s="2484"/>
      <c r="FX53" s="2484"/>
      <c r="FY53" s="2484"/>
      <c r="FZ53" s="2484"/>
      <c r="GA53" s="2484"/>
      <c r="GB53" s="2484"/>
      <c r="GC53" s="2484"/>
      <c r="GD53" s="2484"/>
      <c r="GE53" s="2484"/>
      <c r="GF53" s="2484"/>
      <c r="GG53" s="2484"/>
      <c r="GH53" s="2484"/>
      <c r="GI53" s="2484"/>
      <c r="GJ53" s="2484"/>
      <c r="GK53" s="2484"/>
      <c r="GL53" s="2484"/>
      <c r="GM53" s="2484"/>
      <c r="GN53" s="2484"/>
      <c r="GO53" s="2484"/>
      <c r="GP53" s="2484"/>
      <c r="GQ53" s="2484"/>
      <c r="GR53" s="2484"/>
      <c r="GS53" s="2484"/>
      <c r="GT53" s="2484"/>
      <c r="GU53" s="2484"/>
      <c r="GV53" s="2484"/>
      <c r="GW53" s="2484"/>
      <c r="GX53" s="2484"/>
      <c r="GY53" s="2484"/>
      <c r="GZ53" s="2484"/>
      <c r="HA53" s="2484"/>
      <c r="HB53" s="2484"/>
      <c r="HC53" s="2484"/>
      <c r="HD53" s="2484"/>
      <c r="HE53" s="2484"/>
      <c r="HF53" s="2484"/>
      <c r="HG53" s="2484"/>
      <c r="HH53" s="2484"/>
      <c r="HI53" s="2484"/>
      <c r="HJ53" s="2484"/>
      <c r="HK53" s="2484"/>
      <c r="HL53" s="2484"/>
      <c r="HM53" s="2484"/>
      <c r="HN53" s="2484"/>
      <c r="HO53" s="2484"/>
      <c r="HP53" s="2484"/>
      <c r="HQ53" s="2484"/>
      <c r="HR53" s="2484"/>
    </row>
    <row r="54" spans="1:226" s="2485" customFormat="1" ht="15" customHeight="1">
      <c r="A54" s="3112"/>
      <c r="B54" s="3113"/>
      <c r="C54" s="3114"/>
      <c r="D54" s="3134"/>
      <c r="E54" s="2489" t="s">
        <v>608</v>
      </c>
      <c r="F54" s="2490">
        <f>SUM(G54:J54)</f>
        <v>25500</v>
      </c>
      <c r="G54" s="2490"/>
      <c r="H54" s="2490"/>
      <c r="I54" s="2490">
        <v>25500</v>
      </c>
      <c r="J54" s="2491"/>
      <c r="K54" s="2482"/>
    </row>
    <row r="55" spans="1:226" s="2485" customFormat="1" ht="15" customHeight="1">
      <c r="A55" s="3112"/>
      <c r="B55" s="3113"/>
      <c r="C55" s="3114"/>
      <c r="D55" s="3134"/>
      <c r="E55" s="2489" t="s">
        <v>609</v>
      </c>
      <c r="F55" s="2490">
        <f>SUM(G55:J55)</f>
        <v>4500</v>
      </c>
      <c r="G55" s="2490">
        <v>4500</v>
      </c>
      <c r="H55" s="2490"/>
      <c r="I55" s="2490"/>
      <c r="J55" s="2491"/>
      <c r="K55" s="2482"/>
    </row>
    <row r="56" spans="1:226" s="2485" customFormat="1" ht="15" customHeight="1">
      <c r="A56" s="3112"/>
      <c r="B56" s="3113"/>
      <c r="C56" s="3114"/>
      <c r="D56" s="3134"/>
      <c r="E56" s="2489" t="s">
        <v>610</v>
      </c>
      <c r="F56" s="2490">
        <f>SUM(G56:J56)</f>
        <v>1220600</v>
      </c>
      <c r="G56" s="2490"/>
      <c r="H56" s="2490"/>
      <c r="I56" s="2490">
        <v>1220600</v>
      </c>
      <c r="J56" s="2491"/>
      <c r="K56" s="2482"/>
    </row>
    <row r="57" spans="1:226" s="2485" customFormat="1" ht="15" customHeight="1">
      <c r="A57" s="3112"/>
      <c r="B57" s="3113"/>
      <c r="C57" s="3114"/>
      <c r="D57" s="3134"/>
      <c r="E57" s="2489" t="s">
        <v>611</v>
      </c>
      <c r="F57" s="2490">
        <f>SUM(G57:J57)</f>
        <v>215400</v>
      </c>
      <c r="G57" s="2490">
        <v>215400</v>
      </c>
      <c r="H57" s="2490"/>
      <c r="I57" s="2490"/>
      <c r="J57" s="2491"/>
      <c r="K57" s="2482"/>
    </row>
    <row r="58" spans="1:226" s="2485" customFormat="1" ht="15" customHeight="1">
      <c r="A58" s="3112"/>
      <c r="B58" s="3113"/>
      <c r="C58" s="3114"/>
      <c r="D58" s="3134"/>
      <c r="E58" s="2492" t="s">
        <v>1087</v>
      </c>
      <c r="F58" s="2487">
        <f>SUM(F59:F59)</f>
        <v>0</v>
      </c>
      <c r="G58" s="2487">
        <f>SUM(G59:G59)</f>
        <v>0</v>
      </c>
      <c r="H58" s="2487">
        <f>SUM(H59:H59)</f>
        <v>0</v>
      </c>
      <c r="I58" s="2487">
        <f>SUM(I59:I59)</f>
        <v>0</v>
      </c>
      <c r="J58" s="2488">
        <f>SUM(J59:J59)</f>
        <v>0</v>
      </c>
      <c r="K58" s="2482"/>
    </row>
    <row r="59" spans="1:226" s="2485" customFormat="1" ht="15" hidden="1" customHeight="1">
      <c r="A59" s="2504"/>
      <c r="B59" s="2505"/>
      <c r="C59" s="2506"/>
      <c r="D59" s="2507"/>
      <c r="E59" s="2508"/>
      <c r="F59" s="2509">
        <f>SUM(G59:J59)</f>
        <v>0</v>
      </c>
      <c r="G59" s="2509"/>
      <c r="H59" s="2509"/>
      <c r="I59" s="2509"/>
      <c r="J59" s="2510"/>
      <c r="K59" s="2482"/>
    </row>
    <row r="60" spans="1:226" s="2485" customFormat="1" ht="22.5">
      <c r="A60" s="3112" t="s">
        <v>1097</v>
      </c>
      <c r="B60" s="3113" t="s">
        <v>1098</v>
      </c>
      <c r="C60" s="3114">
        <v>750</v>
      </c>
      <c r="D60" s="3134" t="s">
        <v>738</v>
      </c>
      <c r="E60" s="2479" t="s">
        <v>1086</v>
      </c>
      <c r="F60" s="2480">
        <f>SUM(F61,F75)</f>
        <v>67600</v>
      </c>
      <c r="G60" s="2480">
        <f>SUM(G61,G75)</f>
        <v>10140</v>
      </c>
      <c r="H60" s="2480">
        <f>SUM(H61,H75)</f>
        <v>0</v>
      </c>
      <c r="I60" s="2480">
        <f>SUM(I61,I75)</f>
        <v>57460</v>
      </c>
      <c r="J60" s="2481">
        <f>SUM(J61,J75)</f>
        <v>0</v>
      </c>
      <c r="K60" s="2482"/>
    </row>
    <row r="61" spans="1:226" s="2485" customFormat="1" ht="21">
      <c r="A61" s="3112"/>
      <c r="B61" s="3113"/>
      <c r="C61" s="3114"/>
      <c r="D61" s="3134"/>
      <c r="E61" s="2486" t="s">
        <v>1092</v>
      </c>
      <c r="F61" s="2487">
        <f>SUM(F62,F66)</f>
        <v>67600</v>
      </c>
      <c r="G61" s="2487">
        <f>SUM(G62,G66)</f>
        <v>10140</v>
      </c>
      <c r="H61" s="2487">
        <f>SUM(H62,H66)</f>
        <v>0</v>
      </c>
      <c r="I61" s="2487">
        <f>SUM(I62,I66)</f>
        <v>57460</v>
      </c>
      <c r="J61" s="2488">
        <f>SUM(J62,J66)</f>
        <v>0</v>
      </c>
      <c r="K61" s="2482"/>
    </row>
    <row r="62" spans="1:226" s="2485" customFormat="1" ht="22.5" hidden="1">
      <c r="A62" s="3112"/>
      <c r="B62" s="3113"/>
      <c r="C62" s="3114"/>
      <c r="D62" s="3134"/>
      <c r="E62" s="2497" t="s">
        <v>1093</v>
      </c>
      <c r="F62" s="2498">
        <f>SUM(F63:F65)</f>
        <v>0</v>
      </c>
      <c r="G62" s="2498">
        <f>SUM(G63:G65)</f>
        <v>0</v>
      </c>
      <c r="H62" s="2498">
        <f>SUM(H63:H65)</f>
        <v>0</v>
      </c>
      <c r="I62" s="2498">
        <f>SUM(I63:I65)</f>
        <v>0</v>
      </c>
      <c r="J62" s="2499">
        <f>SUM(J63:J65)</f>
        <v>0</v>
      </c>
      <c r="K62" s="2482"/>
    </row>
    <row r="63" spans="1:226" s="2485" customFormat="1" ht="15" hidden="1" customHeight="1">
      <c r="A63" s="3112"/>
      <c r="B63" s="3113"/>
      <c r="C63" s="3114"/>
      <c r="D63" s="3134"/>
      <c r="E63" s="2489"/>
      <c r="F63" s="2490">
        <f>SUM(G63:J63)</f>
        <v>0</v>
      </c>
      <c r="G63" s="2490"/>
      <c r="H63" s="2490"/>
      <c r="I63" s="2490"/>
      <c r="J63" s="2491"/>
      <c r="K63" s="2482"/>
    </row>
    <row r="64" spans="1:226" s="2485" customFormat="1" ht="15" hidden="1" customHeight="1">
      <c r="A64" s="3112"/>
      <c r="B64" s="3113"/>
      <c r="C64" s="3114"/>
      <c r="D64" s="3134"/>
      <c r="E64" s="2489"/>
      <c r="F64" s="2490">
        <f>SUM(G64:J64)</f>
        <v>0</v>
      </c>
      <c r="G64" s="2490"/>
      <c r="H64" s="2490"/>
      <c r="I64" s="2490"/>
      <c r="J64" s="2491"/>
      <c r="K64" s="2482"/>
    </row>
    <row r="65" spans="1:226" s="2485" customFormat="1" ht="15" hidden="1" customHeight="1">
      <c r="A65" s="3112"/>
      <c r="B65" s="3113"/>
      <c r="C65" s="3114"/>
      <c r="D65" s="3134"/>
      <c r="E65" s="2489"/>
      <c r="F65" s="2490">
        <f>SUM(G65:J65)</f>
        <v>0</v>
      </c>
      <c r="G65" s="2490"/>
      <c r="H65" s="2490"/>
      <c r="I65" s="2490"/>
      <c r="J65" s="2491"/>
      <c r="K65" s="2482"/>
    </row>
    <row r="66" spans="1:226" s="2485" customFormat="1" ht="22.5">
      <c r="A66" s="3112"/>
      <c r="B66" s="3113"/>
      <c r="C66" s="3114"/>
      <c r="D66" s="3134"/>
      <c r="E66" s="2497" t="s">
        <v>1094</v>
      </c>
      <c r="F66" s="2498">
        <f>SUM(F67:F74)</f>
        <v>67600</v>
      </c>
      <c r="G66" s="2498">
        <f>SUM(G67:G74)</f>
        <v>10140</v>
      </c>
      <c r="H66" s="2498">
        <f>SUM(H67:H74)</f>
        <v>0</v>
      </c>
      <c r="I66" s="2498">
        <f>SUM(I67:I74)</f>
        <v>57460</v>
      </c>
      <c r="J66" s="2499">
        <f>SUM(J67:J74)</f>
        <v>0</v>
      </c>
      <c r="K66" s="2482"/>
      <c r="L66" s="2484"/>
      <c r="M66" s="2484"/>
      <c r="N66" s="2484"/>
      <c r="O66" s="2484"/>
      <c r="P66" s="2484"/>
      <c r="Q66" s="2484"/>
      <c r="R66" s="2484"/>
      <c r="S66" s="2484"/>
      <c r="T66" s="2484"/>
      <c r="U66" s="2484"/>
      <c r="V66" s="2484"/>
      <c r="W66" s="2484"/>
      <c r="X66" s="2484"/>
      <c r="Y66" s="2484"/>
      <c r="Z66" s="2484"/>
      <c r="AA66" s="2484"/>
      <c r="AB66" s="2484"/>
      <c r="AC66" s="2484"/>
      <c r="AD66" s="2484"/>
      <c r="AE66" s="2484"/>
      <c r="AF66" s="2484"/>
      <c r="AG66" s="2484"/>
      <c r="AH66" s="2484"/>
      <c r="AI66" s="2484"/>
      <c r="AJ66" s="2484"/>
      <c r="AK66" s="2484"/>
      <c r="AL66" s="2484"/>
      <c r="AM66" s="2484"/>
      <c r="AN66" s="2484"/>
      <c r="AO66" s="2484"/>
      <c r="AP66" s="2484"/>
      <c r="AQ66" s="2484"/>
      <c r="AR66" s="2484"/>
      <c r="AS66" s="2484"/>
      <c r="AT66" s="2484"/>
      <c r="AU66" s="2484"/>
      <c r="AV66" s="2484"/>
      <c r="AW66" s="2484"/>
      <c r="AX66" s="2484"/>
      <c r="AY66" s="2484"/>
      <c r="AZ66" s="2484"/>
      <c r="BA66" s="2484"/>
      <c r="BB66" s="2484"/>
      <c r="BC66" s="2484"/>
      <c r="BD66" s="2484"/>
      <c r="BE66" s="2484"/>
      <c r="BF66" s="2484"/>
      <c r="BG66" s="2484"/>
      <c r="BH66" s="2484"/>
      <c r="BI66" s="2484"/>
      <c r="BJ66" s="2484"/>
      <c r="BK66" s="2484"/>
      <c r="BL66" s="2484"/>
      <c r="BM66" s="2484"/>
      <c r="BN66" s="2484"/>
      <c r="BO66" s="2484"/>
      <c r="BP66" s="2484"/>
      <c r="BQ66" s="2484"/>
      <c r="BR66" s="2484"/>
      <c r="BS66" s="2484"/>
      <c r="BT66" s="2484"/>
      <c r="BU66" s="2484"/>
      <c r="BV66" s="2484"/>
      <c r="BW66" s="2484"/>
      <c r="BX66" s="2484"/>
      <c r="BY66" s="2484"/>
      <c r="BZ66" s="2484"/>
      <c r="CA66" s="2484"/>
      <c r="CB66" s="2484"/>
      <c r="CC66" s="2484"/>
      <c r="CD66" s="2484"/>
      <c r="CE66" s="2484"/>
      <c r="CF66" s="2484"/>
      <c r="CG66" s="2484"/>
      <c r="CH66" s="2484"/>
      <c r="CI66" s="2484"/>
      <c r="CJ66" s="2484"/>
      <c r="CK66" s="2484"/>
      <c r="CL66" s="2484"/>
      <c r="CM66" s="2484"/>
      <c r="CN66" s="2484"/>
      <c r="CO66" s="2484"/>
      <c r="CP66" s="2484"/>
      <c r="CQ66" s="2484"/>
      <c r="CR66" s="2484"/>
      <c r="CS66" s="2484"/>
      <c r="CT66" s="2484"/>
      <c r="CU66" s="2484"/>
      <c r="CV66" s="2484"/>
      <c r="CW66" s="2484"/>
      <c r="CX66" s="2484"/>
      <c r="CY66" s="2484"/>
      <c r="CZ66" s="2484"/>
      <c r="DA66" s="2484"/>
      <c r="DB66" s="2484"/>
      <c r="DC66" s="2484"/>
      <c r="DD66" s="2484"/>
      <c r="DE66" s="2484"/>
      <c r="DF66" s="2484"/>
      <c r="DG66" s="2484"/>
      <c r="DH66" s="2484"/>
      <c r="DI66" s="2484"/>
      <c r="DJ66" s="2484"/>
      <c r="DK66" s="2484"/>
      <c r="DL66" s="2484"/>
      <c r="DM66" s="2484"/>
      <c r="DN66" s="2484"/>
      <c r="DO66" s="2484"/>
      <c r="DP66" s="2484"/>
      <c r="DQ66" s="2484"/>
      <c r="DR66" s="2484"/>
      <c r="DS66" s="2484"/>
      <c r="DT66" s="2484"/>
      <c r="DU66" s="2484"/>
      <c r="DV66" s="2484"/>
      <c r="DW66" s="2484"/>
      <c r="DX66" s="2484"/>
      <c r="DY66" s="2484"/>
      <c r="DZ66" s="2484"/>
      <c r="EA66" s="2484"/>
      <c r="EB66" s="2484"/>
      <c r="EC66" s="2484"/>
      <c r="ED66" s="2484"/>
      <c r="EE66" s="2484"/>
      <c r="EF66" s="2484"/>
      <c r="EG66" s="2484"/>
      <c r="EH66" s="2484"/>
      <c r="EI66" s="2484"/>
      <c r="EJ66" s="2484"/>
      <c r="EK66" s="2484"/>
      <c r="EL66" s="2484"/>
      <c r="EM66" s="2484"/>
      <c r="EN66" s="2484"/>
      <c r="EO66" s="2484"/>
      <c r="EP66" s="2484"/>
      <c r="EQ66" s="2484"/>
      <c r="ER66" s="2484"/>
      <c r="ES66" s="2484"/>
      <c r="ET66" s="2484"/>
      <c r="EU66" s="2484"/>
      <c r="EV66" s="2484"/>
      <c r="EW66" s="2484"/>
      <c r="EX66" s="2484"/>
      <c r="EY66" s="2484"/>
      <c r="EZ66" s="2484"/>
      <c r="FA66" s="2484"/>
      <c r="FB66" s="2484"/>
      <c r="FC66" s="2484"/>
      <c r="FD66" s="2484"/>
      <c r="FE66" s="2484"/>
      <c r="FF66" s="2484"/>
      <c r="FG66" s="2484"/>
      <c r="FH66" s="2484"/>
      <c r="FI66" s="2484"/>
      <c r="FJ66" s="2484"/>
      <c r="FK66" s="2484"/>
      <c r="FL66" s="2484"/>
      <c r="FM66" s="2484"/>
      <c r="FN66" s="2484"/>
      <c r="FO66" s="2484"/>
      <c r="FP66" s="2484"/>
      <c r="FQ66" s="2484"/>
      <c r="FR66" s="2484"/>
      <c r="FS66" s="2484"/>
      <c r="FT66" s="2484"/>
      <c r="FU66" s="2484"/>
      <c r="FV66" s="2484"/>
      <c r="FW66" s="2484"/>
      <c r="FX66" s="2484"/>
      <c r="FY66" s="2484"/>
      <c r="FZ66" s="2484"/>
      <c r="GA66" s="2484"/>
      <c r="GB66" s="2484"/>
      <c r="GC66" s="2484"/>
      <c r="GD66" s="2484"/>
      <c r="GE66" s="2484"/>
      <c r="GF66" s="2484"/>
      <c r="GG66" s="2484"/>
      <c r="GH66" s="2484"/>
      <c r="GI66" s="2484"/>
      <c r="GJ66" s="2484"/>
      <c r="GK66" s="2484"/>
      <c r="GL66" s="2484"/>
      <c r="GM66" s="2484"/>
      <c r="GN66" s="2484"/>
      <c r="GO66" s="2484"/>
      <c r="GP66" s="2484"/>
      <c r="GQ66" s="2484"/>
      <c r="GR66" s="2484"/>
      <c r="GS66" s="2484"/>
      <c r="GT66" s="2484"/>
      <c r="GU66" s="2484"/>
      <c r="GV66" s="2484"/>
      <c r="GW66" s="2484"/>
      <c r="GX66" s="2484"/>
      <c r="GY66" s="2484"/>
      <c r="GZ66" s="2484"/>
      <c r="HA66" s="2484"/>
      <c r="HB66" s="2484"/>
      <c r="HC66" s="2484"/>
      <c r="HD66" s="2484"/>
      <c r="HE66" s="2484"/>
      <c r="HF66" s="2484"/>
      <c r="HG66" s="2484"/>
      <c r="HH66" s="2484"/>
      <c r="HI66" s="2484"/>
      <c r="HJ66" s="2484"/>
      <c r="HK66" s="2484"/>
      <c r="HL66" s="2484"/>
      <c r="HM66" s="2484"/>
      <c r="HN66" s="2484"/>
      <c r="HO66" s="2484"/>
      <c r="HP66" s="2484"/>
      <c r="HQ66" s="2484"/>
      <c r="HR66" s="2484"/>
    </row>
    <row r="67" spans="1:226" s="2485" customFormat="1" ht="15" customHeight="1">
      <c r="A67" s="3112"/>
      <c r="B67" s="3113"/>
      <c r="C67" s="3114"/>
      <c r="D67" s="3134"/>
      <c r="E67" s="2489" t="s">
        <v>743</v>
      </c>
      <c r="F67" s="2490">
        <f>SUM(G67:J67)</f>
        <v>10200</v>
      </c>
      <c r="G67" s="2490"/>
      <c r="H67" s="2490"/>
      <c r="I67" s="2490">
        <v>10200</v>
      </c>
      <c r="J67" s="2491"/>
      <c r="K67" s="2482"/>
    </row>
    <row r="68" spans="1:226" s="2485" customFormat="1" ht="15" customHeight="1">
      <c r="A68" s="3112"/>
      <c r="B68" s="3113"/>
      <c r="C68" s="3114"/>
      <c r="D68" s="3134"/>
      <c r="E68" s="2489" t="s">
        <v>745</v>
      </c>
      <c r="F68" s="2490">
        <f t="shared" ref="F68:F72" si="5">SUM(G68:J68)</f>
        <v>1800</v>
      </c>
      <c r="G68" s="2490">
        <v>1800</v>
      </c>
      <c r="H68" s="2490"/>
      <c r="I68" s="2490"/>
      <c r="J68" s="2491"/>
      <c r="K68" s="2482"/>
    </row>
    <row r="69" spans="1:226" s="2485" customFormat="1" ht="15" customHeight="1">
      <c r="A69" s="3112"/>
      <c r="B69" s="3113"/>
      <c r="C69" s="3114"/>
      <c r="D69" s="3134"/>
      <c r="E69" s="2489" t="s">
        <v>608</v>
      </c>
      <c r="F69" s="2490">
        <f t="shared" si="5"/>
        <v>44200</v>
      </c>
      <c r="G69" s="2490"/>
      <c r="H69" s="2490"/>
      <c r="I69" s="2490">
        <v>44200</v>
      </c>
      <c r="J69" s="2491"/>
      <c r="K69" s="2482"/>
    </row>
    <row r="70" spans="1:226" s="2485" customFormat="1" ht="15" customHeight="1">
      <c r="A70" s="3112"/>
      <c r="B70" s="3113"/>
      <c r="C70" s="3114"/>
      <c r="D70" s="3134"/>
      <c r="E70" s="2489" t="s">
        <v>609</v>
      </c>
      <c r="F70" s="2490">
        <f t="shared" si="5"/>
        <v>7800</v>
      </c>
      <c r="G70" s="2490">
        <v>7800</v>
      </c>
      <c r="H70" s="2490"/>
      <c r="I70" s="2490"/>
      <c r="J70" s="2491"/>
      <c r="K70" s="2482"/>
    </row>
    <row r="71" spans="1:226" s="2485" customFormat="1" ht="15" customHeight="1">
      <c r="A71" s="3112"/>
      <c r="B71" s="3113"/>
      <c r="C71" s="3114"/>
      <c r="D71" s="3134"/>
      <c r="E71" s="2489" t="s">
        <v>728</v>
      </c>
      <c r="F71" s="2490">
        <f t="shared" si="5"/>
        <v>3060</v>
      </c>
      <c r="G71" s="2490"/>
      <c r="H71" s="2490"/>
      <c r="I71" s="2490">
        <v>3060</v>
      </c>
      <c r="J71" s="2491"/>
      <c r="K71" s="2482"/>
    </row>
    <row r="72" spans="1:226" s="2485" customFormat="1" ht="15" customHeight="1">
      <c r="A72" s="3112"/>
      <c r="B72" s="3113"/>
      <c r="C72" s="3114"/>
      <c r="D72" s="3134"/>
      <c r="E72" s="2489" t="s">
        <v>700</v>
      </c>
      <c r="F72" s="2490">
        <f t="shared" si="5"/>
        <v>540</v>
      </c>
      <c r="G72" s="2490">
        <v>540</v>
      </c>
      <c r="H72" s="2490"/>
      <c r="I72" s="2490"/>
      <c r="J72" s="2491"/>
      <c r="K72" s="2482"/>
    </row>
    <row r="73" spans="1:226" s="2485" customFormat="1" ht="15" hidden="1" customHeight="1">
      <c r="A73" s="3112"/>
      <c r="B73" s="3113"/>
      <c r="C73" s="3114"/>
      <c r="D73" s="3134"/>
      <c r="E73" s="2489" t="s">
        <v>610</v>
      </c>
      <c r="F73" s="2490">
        <f>SUM(G73:J73)</f>
        <v>0</v>
      </c>
      <c r="G73" s="2490"/>
      <c r="H73" s="2490"/>
      <c r="I73" s="2490"/>
      <c r="J73" s="2491"/>
      <c r="K73" s="2482"/>
    </row>
    <row r="74" spans="1:226" s="2485" customFormat="1" ht="15" hidden="1" customHeight="1">
      <c r="A74" s="3112"/>
      <c r="B74" s="3113"/>
      <c r="C74" s="3114"/>
      <c r="D74" s="3134"/>
      <c r="E74" s="2489" t="s">
        <v>611</v>
      </c>
      <c r="F74" s="2490">
        <f>SUM(G74:J74)</f>
        <v>0</v>
      </c>
      <c r="G74" s="2490"/>
      <c r="H74" s="2490"/>
      <c r="I74" s="2490"/>
      <c r="J74" s="2491"/>
      <c r="K74" s="2482"/>
    </row>
    <row r="75" spans="1:226" s="2485" customFormat="1" ht="15" customHeight="1">
      <c r="A75" s="3112"/>
      <c r="B75" s="3113"/>
      <c r="C75" s="3114"/>
      <c r="D75" s="3134"/>
      <c r="E75" s="2492" t="s">
        <v>1087</v>
      </c>
      <c r="F75" s="2487">
        <f>SUM(F76:F77)</f>
        <v>0</v>
      </c>
      <c r="G75" s="2487">
        <f>SUM(G76:G77)</f>
        <v>0</v>
      </c>
      <c r="H75" s="2487">
        <f>SUM(H76:H77)</f>
        <v>0</v>
      </c>
      <c r="I75" s="2487">
        <f>SUM(I76:I77)</f>
        <v>0</v>
      </c>
      <c r="J75" s="2488">
        <f>SUM(J76:J77)</f>
        <v>0</v>
      </c>
      <c r="K75" s="2482"/>
    </row>
    <row r="76" spans="1:226" s="2485" customFormat="1" ht="15" hidden="1" customHeight="1">
      <c r="A76" s="3112"/>
      <c r="B76" s="3113"/>
      <c r="C76" s="3114"/>
      <c r="D76" s="3134"/>
      <c r="E76" s="2489"/>
      <c r="F76" s="2490">
        <f>SUM(G76:J76)</f>
        <v>0</v>
      </c>
      <c r="G76" s="2490"/>
      <c r="H76" s="2490"/>
      <c r="I76" s="2490"/>
      <c r="J76" s="2491"/>
      <c r="K76" s="2482"/>
    </row>
    <row r="77" spans="1:226" s="2485" customFormat="1" ht="15" hidden="1" customHeight="1">
      <c r="A77" s="3112"/>
      <c r="B77" s="3113"/>
      <c r="C77" s="3114"/>
      <c r="D77" s="3134"/>
      <c r="E77" s="2503"/>
      <c r="F77" s="2490">
        <f>SUM(G77:J77)</f>
        <v>0</v>
      </c>
      <c r="G77" s="2490"/>
      <c r="H77" s="2490"/>
      <c r="I77" s="2490"/>
      <c r="J77" s="2491"/>
      <c r="K77" s="2482"/>
    </row>
    <row r="78" spans="1:226" s="2485" customFormat="1" ht="22.5">
      <c r="A78" s="3112" t="s">
        <v>1099</v>
      </c>
      <c r="B78" s="3147" t="s">
        <v>1100</v>
      </c>
      <c r="C78" s="3114">
        <v>750</v>
      </c>
      <c r="D78" s="3134" t="s">
        <v>738</v>
      </c>
      <c r="E78" s="2479" t="s">
        <v>1086</v>
      </c>
      <c r="F78" s="2480">
        <f>SUM(F79,F92)</f>
        <v>28146915</v>
      </c>
      <c r="G78" s="2480">
        <f>SUM(G79,G92)</f>
        <v>4222037</v>
      </c>
      <c r="H78" s="2480">
        <f>SUM(H79,H92)</f>
        <v>0</v>
      </c>
      <c r="I78" s="2480">
        <f>SUM(I79,I92)</f>
        <v>23924878</v>
      </c>
      <c r="J78" s="2481">
        <f>SUM(J79,J92)</f>
        <v>0</v>
      </c>
      <c r="K78" s="2495"/>
    </row>
    <row r="79" spans="1:226" s="2485" customFormat="1" ht="21">
      <c r="A79" s="3112"/>
      <c r="B79" s="3147"/>
      <c r="C79" s="3114"/>
      <c r="D79" s="3134"/>
      <c r="E79" s="2486" t="s">
        <v>1092</v>
      </c>
      <c r="F79" s="2487">
        <f>SUM(F80,F89)</f>
        <v>28146915</v>
      </c>
      <c r="G79" s="2487">
        <f>SUM(G80,G89)</f>
        <v>4222037</v>
      </c>
      <c r="H79" s="2487">
        <f>SUM(H80,H89)</f>
        <v>0</v>
      </c>
      <c r="I79" s="2487">
        <f>SUM(I80,I89)</f>
        <v>23924878</v>
      </c>
      <c r="J79" s="2488">
        <f>SUM(J80,J89)</f>
        <v>0</v>
      </c>
      <c r="K79" s="2482"/>
    </row>
    <row r="80" spans="1:226" s="2485" customFormat="1" ht="22.5">
      <c r="A80" s="3112"/>
      <c r="B80" s="3147"/>
      <c r="C80" s="3114"/>
      <c r="D80" s="3134"/>
      <c r="E80" s="2497" t="s">
        <v>1093</v>
      </c>
      <c r="F80" s="2498">
        <f>SUM(F81:F88)</f>
        <v>28146915</v>
      </c>
      <c r="G80" s="2498">
        <f t="shared" ref="G80:J80" si="6">SUM(G81:G88)</f>
        <v>4222037</v>
      </c>
      <c r="H80" s="2498">
        <f t="shared" si="6"/>
        <v>0</v>
      </c>
      <c r="I80" s="2498">
        <f t="shared" si="6"/>
        <v>23924878</v>
      </c>
      <c r="J80" s="2499">
        <f t="shared" si="6"/>
        <v>0</v>
      </c>
      <c r="K80" s="2495"/>
    </row>
    <row r="81" spans="1:226" s="2485" customFormat="1" ht="15" customHeight="1">
      <c r="A81" s="3112"/>
      <c r="B81" s="3147"/>
      <c r="C81" s="3114"/>
      <c r="D81" s="3134"/>
      <c r="E81" s="2489" t="s">
        <v>591</v>
      </c>
      <c r="F81" s="2490">
        <f>SUM(G81:J81)</f>
        <v>18688873</v>
      </c>
      <c r="G81" s="2490"/>
      <c r="H81" s="2490"/>
      <c r="I81" s="2490">
        <v>18688873</v>
      </c>
      <c r="J81" s="2491"/>
      <c r="K81" s="2482"/>
    </row>
    <row r="82" spans="1:226" s="2485" customFormat="1" ht="15" customHeight="1">
      <c r="A82" s="3112"/>
      <c r="B82" s="3147"/>
      <c r="C82" s="3114"/>
      <c r="D82" s="3134"/>
      <c r="E82" s="2489" t="s">
        <v>592</v>
      </c>
      <c r="F82" s="2490">
        <f t="shared" ref="F82:F88" si="7">SUM(G82:J82)</f>
        <v>3298037</v>
      </c>
      <c r="G82" s="2490">
        <v>3298037</v>
      </c>
      <c r="H82" s="2490"/>
      <c r="I82" s="2490"/>
      <c r="J82" s="2491"/>
      <c r="K82" s="2482"/>
    </row>
    <row r="83" spans="1:226" s="2485" customFormat="1" ht="15" customHeight="1">
      <c r="A83" s="3112"/>
      <c r="B83" s="3147"/>
      <c r="C83" s="3114"/>
      <c r="D83" s="3134"/>
      <c r="E83" s="2489" t="s">
        <v>593</v>
      </c>
      <c r="F83" s="2490">
        <f t="shared" si="7"/>
        <v>1276809</v>
      </c>
      <c r="G83" s="2490"/>
      <c r="H83" s="2490"/>
      <c r="I83" s="2490">
        <v>1276809</v>
      </c>
      <c r="J83" s="2491"/>
      <c r="K83" s="2482"/>
    </row>
    <row r="84" spans="1:226" s="2485" customFormat="1" ht="15" customHeight="1">
      <c r="A84" s="3112"/>
      <c r="B84" s="3147"/>
      <c r="C84" s="3114"/>
      <c r="D84" s="3134"/>
      <c r="E84" s="2489" t="s">
        <v>594</v>
      </c>
      <c r="F84" s="2490">
        <f t="shared" si="7"/>
        <v>225319</v>
      </c>
      <c r="G84" s="2490">
        <v>225319</v>
      </c>
      <c r="H84" s="2490"/>
      <c r="I84" s="2490"/>
      <c r="J84" s="2491"/>
      <c r="K84" s="2482"/>
    </row>
    <row r="85" spans="1:226" s="2485" customFormat="1" ht="15" customHeight="1">
      <c r="A85" s="3112"/>
      <c r="B85" s="3147"/>
      <c r="C85" s="3114"/>
      <c r="D85" s="3134"/>
      <c r="E85" s="2489" t="s">
        <v>595</v>
      </c>
      <c r="F85" s="2490">
        <f t="shared" si="7"/>
        <v>3470036</v>
      </c>
      <c r="G85" s="2490"/>
      <c r="H85" s="2490"/>
      <c r="I85" s="2490">
        <v>3470036</v>
      </c>
      <c r="J85" s="2491"/>
      <c r="K85" s="2482"/>
    </row>
    <row r="86" spans="1:226" s="2485" customFormat="1" ht="15" customHeight="1">
      <c r="A86" s="3112"/>
      <c r="B86" s="3147"/>
      <c r="C86" s="3114"/>
      <c r="D86" s="3134"/>
      <c r="E86" s="2489" t="s">
        <v>596</v>
      </c>
      <c r="F86" s="2490">
        <f t="shared" si="7"/>
        <v>612359</v>
      </c>
      <c r="G86" s="2490">
        <v>612359</v>
      </c>
      <c r="H86" s="2490"/>
      <c r="I86" s="2490"/>
      <c r="J86" s="2491"/>
      <c r="K86" s="2482"/>
    </row>
    <row r="87" spans="1:226" s="2485" customFormat="1" ht="15" customHeight="1">
      <c r="A87" s="3112"/>
      <c r="B87" s="3147"/>
      <c r="C87" s="3114"/>
      <c r="D87" s="3134"/>
      <c r="E87" s="2489" t="s">
        <v>597</v>
      </c>
      <c r="F87" s="2490">
        <f t="shared" si="7"/>
        <v>489160</v>
      </c>
      <c r="G87" s="2490"/>
      <c r="H87" s="2490"/>
      <c r="I87" s="2490">
        <v>489160</v>
      </c>
      <c r="J87" s="2491"/>
      <c r="K87" s="2482"/>
    </row>
    <row r="88" spans="1:226" s="2485" customFormat="1" ht="15" customHeight="1">
      <c r="A88" s="3112"/>
      <c r="B88" s="3147"/>
      <c r="C88" s="3114"/>
      <c r="D88" s="3134"/>
      <c r="E88" s="2489" t="s">
        <v>598</v>
      </c>
      <c r="F88" s="2490">
        <f t="shared" si="7"/>
        <v>86322</v>
      </c>
      <c r="G88" s="2490">
        <v>86322</v>
      </c>
      <c r="H88" s="2490"/>
      <c r="I88" s="2490"/>
      <c r="J88" s="2491"/>
      <c r="K88" s="2482"/>
    </row>
    <row r="89" spans="1:226" s="2485" customFormat="1" ht="22.5" hidden="1">
      <c r="A89" s="3112"/>
      <c r="B89" s="3147"/>
      <c r="C89" s="3114"/>
      <c r="D89" s="3134"/>
      <c r="E89" s="2497" t="s">
        <v>1094</v>
      </c>
      <c r="F89" s="2498">
        <f>SUM(F90:F91)</f>
        <v>0</v>
      </c>
      <c r="G89" s="2498">
        <f>SUM(G90:G91)</f>
        <v>0</v>
      </c>
      <c r="H89" s="2498">
        <f>SUM(H90:H91)</f>
        <v>0</v>
      </c>
      <c r="I89" s="2498">
        <f>SUM(I90:I91)</f>
        <v>0</v>
      </c>
      <c r="J89" s="2499">
        <f>SUM(J90:J91)</f>
        <v>0</v>
      </c>
      <c r="K89" s="2482"/>
      <c r="L89" s="2484"/>
      <c r="M89" s="2484"/>
      <c r="N89" s="2484"/>
      <c r="O89" s="2484"/>
      <c r="P89" s="2484"/>
      <c r="Q89" s="2484"/>
      <c r="R89" s="2484"/>
      <c r="S89" s="2484"/>
      <c r="T89" s="2484"/>
      <c r="U89" s="2484"/>
      <c r="V89" s="2484"/>
      <c r="W89" s="2484"/>
      <c r="X89" s="2484"/>
      <c r="Y89" s="2484"/>
      <c r="Z89" s="2484"/>
      <c r="AA89" s="2484"/>
      <c r="AB89" s="2484"/>
      <c r="AC89" s="2484"/>
      <c r="AD89" s="2484"/>
      <c r="AE89" s="2484"/>
      <c r="AF89" s="2484"/>
      <c r="AG89" s="2484"/>
      <c r="AH89" s="2484"/>
      <c r="AI89" s="2484"/>
      <c r="AJ89" s="2484"/>
      <c r="AK89" s="2484"/>
      <c r="AL89" s="2484"/>
      <c r="AM89" s="2484"/>
      <c r="AN89" s="2484"/>
      <c r="AO89" s="2484"/>
      <c r="AP89" s="2484"/>
      <c r="AQ89" s="2484"/>
      <c r="AR89" s="2484"/>
      <c r="AS89" s="2484"/>
      <c r="AT89" s="2484"/>
      <c r="AU89" s="2484"/>
      <c r="AV89" s="2484"/>
      <c r="AW89" s="2484"/>
      <c r="AX89" s="2484"/>
      <c r="AY89" s="2484"/>
      <c r="AZ89" s="2484"/>
      <c r="BA89" s="2484"/>
      <c r="BB89" s="2484"/>
      <c r="BC89" s="2484"/>
      <c r="BD89" s="2484"/>
      <c r="BE89" s="2484"/>
      <c r="BF89" s="2484"/>
      <c r="BG89" s="2484"/>
      <c r="BH89" s="2484"/>
      <c r="BI89" s="2484"/>
      <c r="BJ89" s="2484"/>
      <c r="BK89" s="2484"/>
      <c r="BL89" s="2484"/>
      <c r="BM89" s="2484"/>
      <c r="BN89" s="2484"/>
      <c r="BO89" s="2484"/>
      <c r="BP89" s="2484"/>
      <c r="BQ89" s="2484"/>
      <c r="BR89" s="2484"/>
      <c r="BS89" s="2484"/>
      <c r="BT89" s="2484"/>
      <c r="BU89" s="2484"/>
      <c r="BV89" s="2484"/>
      <c r="BW89" s="2484"/>
      <c r="BX89" s="2484"/>
      <c r="BY89" s="2484"/>
      <c r="BZ89" s="2484"/>
      <c r="CA89" s="2484"/>
      <c r="CB89" s="2484"/>
      <c r="CC89" s="2484"/>
      <c r="CD89" s="2484"/>
      <c r="CE89" s="2484"/>
      <c r="CF89" s="2484"/>
      <c r="CG89" s="2484"/>
      <c r="CH89" s="2484"/>
      <c r="CI89" s="2484"/>
      <c r="CJ89" s="2484"/>
      <c r="CK89" s="2484"/>
      <c r="CL89" s="2484"/>
      <c r="CM89" s="2484"/>
      <c r="CN89" s="2484"/>
      <c r="CO89" s="2484"/>
      <c r="CP89" s="2484"/>
      <c r="CQ89" s="2484"/>
      <c r="CR89" s="2484"/>
      <c r="CS89" s="2484"/>
      <c r="CT89" s="2484"/>
      <c r="CU89" s="2484"/>
      <c r="CV89" s="2484"/>
      <c r="CW89" s="2484"/>
      <c r="CX89" s="2484"/>
      <c r="CY89" s="2484"/>
      <c r="CZ89" s="2484"/>
      <c r="DA89" s="2484"/>
      <c r="DB89" s="2484"/>
      <c r="DC89" s="2484"/>
      <c r="DD89" s="2484"/>
      <c r="DE89" s="2484"/>
      <c r="DF89" s="2484"/>
      <c r="DG89" s="2484"/>
      <c r="DH89" s="2484"/>
      <c r="DI89" s="2484"/>
      <c r="DJ89" s="2484"/>
      <c r="DK89" s="2484"/>
      <c r="DL89" s="2484"/>
      <c r="DM89" s="2484"/>
      <c r="DN89" s="2484"/>
      <c r="DO89" s="2484"/>
      <c r="DP89" s="2484"/>
      <c r="DQ89" s="2484"/>
      <c r="DR89" s="2484"/>
      <c r="DS89" s="2484"/>
      <c r="DT89" s="2484"/>
      <c r="DU89" s="2484"/>
      <c r="DV89" s="2484"/>
      <c r="DW89" s="2484"/>
      <c r="DX89" s="2484"/>
      <c r="DY89" s="2484"/>
      <c r="DZ89" s="2484"/>
      <c r="EA89" s="2484"/>
      <c r="EB89" s="2484"/>
      <c r="EC89" s="2484"/>
      <c r="ED89" s="2484"/>
      <c r="EE89" s="2484"/>
      <c r="EF89" s="2484"/>
      <c r="EG89" s="2484"/>
      <c r="EH89" s="2484"/>
      <c r="EI89" s="2484"/>
      <c r="EJ89" s="2484"/>
      <c r="EK89" s="2484"/>
      <c r="EL89" s="2484"/>
      <c r="EM89" s="2484"/>
      <c r="EN89" s="2484"/>
      <c r="EO89" s="2484"/>
      <c r="EP89" s="2484"/>
      <c r="EQ89" s="2484"/>
      <c r="ER89" s="2484"/>
      <c r="ES89" s="2484"/>
      <c r="ET89" s="2484"/>
      <c r="EU89" s="2484"/>
      <c r="EV89" s="2484"/>
      <c r="EW89" s="2484"/>
      <c r="EX89" s="2484"/>
      <c r="EY89" s="2484"/>
      <c r="EZ89" s="2484"/>
      <c r="FA89" s="2484"/>
      <c r="FB89" s="2484"/>
      <c r="FC89" s="2484"/>
      <c r="FD89" s="2484"/>
      <c r="FE89" s="2484"/>
      <c r="FF89" s="2484"/>
      <c r="FG89" s="2484"/>
      <c r="FH89" s="2484"/>
      <c r="FI89" s="2484"/>
      <c r="FJ89" s="2484"/>
      <c r="FK89" s="2484"/>
      <c r="FL89" s="2484"/>
      <c r="FM89" s="2484"/>
      <c r="FN89" s="2484"/>
      <c r="FO89" s="2484"/>
      <c r="FP89" s="2484"/>
      <c r="FQ89" s="2484"/>
      <c r="FR89" s="2484"/>
      <c r="FS89" s="2484"/>
      <c r="FT89" s="2484"/>
      <c r="FU89" s="2484"/>
      <c r="FV89" s="2484"/>
      <c r="FW89" s="2484"/>
      <c r="FX89" s="2484"/>
      <c r="FY89" s="2484"/>
      <c r="FZ89" s="2484"/>
      <c r="GA89" s="2484"/>
      <c r="GB89" s="2484"/>
      <c r="GC89" s="2484"/>
      <c r="GD89" s="2484"/>
      <c r="GE89" s="2484"/>
      <c r="GF89" s="2484"/>
      <c r="GG89" s="2484"/>
      <c r="GH89" s="2484"/>
      <c r="GI89" s="2484"/>
      <c r="GJ89" s="2484"/>
      <c r="GK89" s="2484"/>
      <c r="GL89" s="2484"/>
      <c r="GM89" s="2484"/>
      <c r="GN89" s="2484"/>
      <c r="GO89" s="2484"/>
      <c r="GP89" s="2484"/>
      <c r="GQ89" s="2484"/>
      <c r="GR89" s="2484"/>
      <c r="GS89" s="2484"/>
      <c r="GT89" s="2484"/>
      <c r="GU89" s="2484"/>
      <c r="GV89" s="2484"/>
      <c r="GW89" s="2484"/>
      <c r="GX89" s="2484"/>
      <c r="GY89" s="2484"/>
      <c r="GZ89" s="2484"/>
      <c r="HA89" s="2484"/>
      <c r="HB89" s="2484"/>
      <c r="HC89" s="2484"/>
      <c r="HD89" s="2484"/>
      <c r="HE89" s="2484"/>
      <c r="HF89" s="2484"/>
      <c r="HG89" s="2484"/>
      <c r="HH89" s="2484"/>
      <c r="HI89" s="2484"/>
      <c r="HJ89" s="2484"/>
      <c r="HK89" s="2484"/>
      <c r="HL89" s="2484"/>
      <c r="HM89" s="2484"/>
      <c r="HN89" s="2484"/>
      <c r="HO89" s="2484"/>
      <c r="HP89" s="2484"/>
      <c r="HQ89" s="2484"/>
      <c r="HR89" s="2484"/>
    </row>
    <row r="90" spans="1:226" s="2485" customFormat="1" ht="15" hidden="1" customHeight="1">
      <c r="A90" s="3112"/>
      <c r="B90" s="3147"/>
      <c r="C90" s="3114"/>
      <c r="D90" s="3134"/>
      <c r="E90" s="2489"/>
      <c r="F90" s="2490">
        <f>SUM(G90:J90)</f>
        <v>0</v>
      </c>
      <c r="G90" s="2490"/>
      <c r="H90" s="2490"/>
      <c r="I90" s="2490"/>
      <c r="J90" s="2491"/>
      <c r="K90" s="2482"/>
    </row>
    <row r="91" spans="1:226" s="2485" customFormat="1" ht="15" hidden="1" customHeight="1">
      <c r="A91" s="3112"/>
      <c r="B91" s="3147"/>
      <c r="C91" s="3114"/>
      <c r="D91" s="3134"/>
      <c r="E91" s="2489"/>
      <c r="F91" s="2490">
        <f>SUM(G91:J91)</f>
        <v>0</v>
      </c>
      <c r="G91" s="2490"/>
      <c r="H91" s="2490"/>
      <c r="I91" s="2490"/>
      <c r="J91" s="2491"/>
      <c r="K91" s="2482"/>
    </row>
    <row r="92" spans="1:226" s="2485" customFormat="1" ht="15" customHeight="1">
      <c r="A92" s="3112"/>
      <c r="B92" s="3147"/>
      <c r="C92" s="3114"/>
      <c r="D92" s="3134"/>
      <c r="E92" s="2492" t="s">
        <v>1087</v>
      </c>
      <c r="F92" s="2487">
        <f>SUM(F93:F93)</f>
        <v>0</v>
      </c>
      <c r="G92" s="2487">
        <f>SUM(G93:G93)</f>
        <v>0</v>
      </c>
      <c r="H92" s="2487">
        <f>SUM(H93:H93)</f>
        <v>0</v>
      </c>
      <c r="I92" s="2487">
        <f>SUM(I93:I93)</f>
        <v>0</v>
      </c>
      <c r="J92" s="2488">
        <f>SUM(J93:J93)</f>
        <v>0</v>
      </c>
      <c r="K92" s="2482"/>
    </row>
    <row r="93" spans="1:226" s="2485" customFormat="1" ht="15" hidden="1" customHeight="1">
      <c r="A93" s="2504"/>
      <c r="B93" s="2511"/>
      <c r="C93" s="2506"/>
      <c r="D93" s="2507"/>
      <c r="E93" s="2508"/>
      <c r="F93" s="2509">
        <f>SUM(G93:J93)</f>
        <v>0</v>
      </c>
      <c r="G93" s="2509"/>
      <c r="H93" s="2509"/>
      <c r="I93" s="2509"/>
      <c r="J93" s="2510"/>
      <c r="K93" s="2482"/>
    </row>
    <row r="94" spans="1:226" s="2485" customFormat="1" ht="22.5">
      <c r="A94" s="3112" t="s">
        <v>1101</v>
      </c>
      <c r="B94" s="3113" t="s">
        <v>1102</v>
      </c>
      <c r="C94" s="3114">
        <v>750</v>
      </c>
      <c r="D94" s="3134" t="s">
        <v>738</v>
      </c>
      <c r="E94" s="2479" t="s">
        <v>1086</v>
      </c>
      <c r="F94" s="2480">
        <f>SUM(F95,F128)</f>
        <v>4104940</v>
      </c>
      <c r="G94" s="2480">
        <f>SUM(G95,G128)</f>
        <v>615741</v>
      </c>
      <c r="H94" s="2480">
        <f>SUM(H95,H128)</f>
        <v>0</v>
      </c>
      <c r="I94" s="2480">
        <f>SUM(I95,I128)</f>
        <v>3489199</v>
      </c>
      <c r="J94" s="2481">
        <f>SUM(J95,J128)</f>
        <v>0</v>
      </c>
      <c r="K94" s="2482"/>
    </row>
    <row r="95" spans="1:226" s="2485" customFormat="1" ht="21">
      <c r="A95" s="3112"/>
      <c r="B95" s="3113"/>
      <c r="C95" s="3114"/>
      <c r="D95" s="3134"/>
      <c r="E95" s="2486" t="s">
        <v>1092</v>
      </c>
      <c r="F95" s="2487">
        <f>SUM(F96,F103)</f>
        <v>4044940</v>
      </c>
      <c r="G95" s="2487">
        <f>SUM(G96,G103)</f>
        <v>606741</v>
      </c>
      <c r="H95" s="2487">
        <f>SUM(H96,H103)</f>
        <v>0</v>
      </c>
      <c r="I95" s="2487">
        <f>SUM(I96,I103)</f>
        <v>3438199</v>
      </c>
      <c r="J95" s="2488">
        <f>SUM(J96,J103)</f>
        <v>0</v>
      </c>
      <c r="K95" s="2482"/>
    </row>
    <row r="96" spans="1:226" s="2485" customFormat="1" ht="22.5">
      <c r="A96" s="3112"/>
      <c r="B96" s="3113"/>
      <c r="C96" s="3114"/>
      <c r="D96" s="3134"/>
      <c r="E96" s="2497" t="s">
        <v>1093</v>
      </c>
      <c r="F96" s="2498">
        <f>SUM(F97:F102)</f>
        <v>1534940</v>
      </c>
      <c r="G96" s="2498">
        <f t="shared" ref="G96:J96" si="8">SUM(G97:G102)</f>
        <v>230241</v>
      </c>
      <c r="H96" s="2498">
        <f t="shared" si="8"/>
        <v>0</v>
      </c>
      <c r="I96" s="2498">
        <f t="shared" si="8"/>
        <v>1304699</v>
      </c>
      <c r="J96" s="2499">
        <f t="shared" si="8"/>
        <v>0</v>
      </c>
      <c r="K96" s="2482"/>
    </row>
    <row r="97" spans="1:226" s="2485" customFormat="1" ht="15" customHeight="1">
      <c r="A97" s="3112"/>
      <c r="B97" s="3113"/>
      <c r="C97" s="3114"/>
      <c r="D97" s="3134"/>
      <c r="E97" s="2489" t="s">
        <v>595</v>
      </c>
      <c r="F97" s="2490">
        <f t="shared" ref="F97:F102" si="9">SUM(G97:J97)</f>
        <v>21216</v>
      </c>
      <c r="G97" s="2490"/>
      <c r="H97" s="2490"/>
      <c r="I97" s="2490">
        <v>21216</v>
      </c>
      <c r="J97" s="2491"/>
      <c r="K97" s="2482"/>
    </row>
    <row r="98" spans="1:226" s="2485" customFormat="1" ht="15" customHeight="1">
      <c r="A98" s="3112"/>
      <c r="B98" s="3113"/>
      <c r="C98" s="3114"/>
      <c r="D98" s="3134"/>
      <c r="E98" s="2489" t="s">
        <v>596</v>
      </c>
      <c r="F98" s="2490">
        <f t="shared" si="9"/>
        <v>3744</v>
      </c>
      <c r="G98" s="2490">
        <v>3744</v>
      </c>
      <c r="H98" s="2490"/>
      <c r="I98" s="2490"/>
      <c r="J98" s="2491"/>
      <c r="K98" s="2482"/>
    </row>
    <row r="99" spans="1:226" s="2485" customFormat="1" ht="15" customHeight="1">
      <c r="A99" s="3112"/>
      <c r="B99" s="3113"/>
      <c r="C99" s="3114"/>
      <c r="D99" s="3134"/>
      <c r="E99" s="2489" t="s">
        <v>597</v>
      </c>
      <c r="F99" s="2490">
        <f t="shared" si="9"/>
        <v>2533</v>
      </c>
      <c r="G99" s="2490"/>
      <c r="H99" s="2490"/>
      <c r="I99" s="2490">
        <v>2533</v>
      </c>
      <c r="J99" s="2491"/>
      <c r="K99" s="2482"/>
    </row>
    <row r="100" spans="1:226" s="2485" customFormat="1" ht="15" customHeight="1">
      <c r="A100" s="3112"/>
      <c r="B100" s="3113"/>
      <c r="C100" s="3114"/>
      <c r="D100" s="3134"/>
      <c r="E100" s="2489" t="s">
        <v>598</v>
      </c>
      <c r="F100" s="2490">
        <f t="shared" si="9"/>
        <v>447</v>
      </c>
      <c r="G100" s="2490">
        <v>447</v>
      </c>
      <c r="H100" s="2490"/>
      <c r="I100" s="2490"/>
      <c r="J100" s="2491"/>
      <c r="K100" s="2482"/>
    </row>
    <row r="101" spans="1:226" s="2485" customFormat="1" ht="15" customHeight="1">
      <c r="A101" s="3112"/>
      <c r="B101" s="3113"/>
      <c r="C101" s="3114"/>
      <c r="D101" s="3134"/>
      <c r="E101" s="2489" t="s">
        <v>599</v>
      </c>
      <c r="F101" s="2490">
        <f t="shared" si="9"/>
        <v>1280950</v>
      </c>
      <c r="G101" s="2490"/>
      <c r="H101" s="2490"/>
      <c r="I101" s="2490">
        <v>1280950</v>
      </c>
      <c r="J101" s="2491"/>
      <c r="K101" s="2482"/>
    </row>
    <row r="102" spans="1:226" s="2485" customFormat="1" ht="15" customHeight="1">
      <c r="A102" s="3112"/>
      <c r="B102" s="3113"/>
      <c r="C102" s="3114"/>
      <c r="D102" s="3134"/>
      <c r="E102" s="2489" t="s">
        <v>600</v>
      </c>
      <c r="F102" s="2490">
        <f t="shared" si="9"/>
        <v>226050</v>
      </c>
      <c r="G102" s="2490">
        <v>226050</v>
      </c>
      <c r="H102" s="2490"/>
      <c r="I102" s="2490"/>
      <c r="J102" s="2491"/>
      <c r="K102" s="2482"/>
    </row>
    <row r="103" spans="1:226" s="2485" customFormat="1" ht="22.5">
      <c r="A103" s="3112"/>
      <c r="B103" s="3113"/>
      <c r="C103" s="3114"/>
      <c r="D103" s="3134"/>
      <c r="E103" s="2497" t="s">
        <v>1094</v>
      </c>
      <c r="F103" s="2498">
        <f>SUM(F104:F127)</f>
        <v>2510000</v>
      </c>
      <c r="G103" s="2498">
        <f t="shared" ref="G103:J103" si="10">SUM(G104:G127)</f>
        <v>376500</v>
      </c>
      <c r="H103" s="2498">
        <f t="shared" si="10"/>
        <v>0</v>
      </c>
      <c r="I103" s="2498">
        <f t="shared" si="10"/>
        <v>2133500</v>
      </c>
      <c r="J103" s="2499">
        <f t="shared" si="10"/>
        <v>0</v>
      </c>
      <c r="K103" s="2482"/>
      <c r="L103" s="2484"/>
      <c r="M103" s="2484"/>
      <c r="N103" s="2484"/>
      <c r="O103" s="2484"/>
      <c r="P103" s="2484"/>
      <c r="Q103" s="2484"/>
      <c r="R103" s="2484"/>
      <c r="S103" s="2484"/>
      <c r="T103" s="2484"/>
      <c r="U103" s="2484"/>
      <c r="V103" s="2484"/>
      <c r="W103" s="2484"/>
      <c r="X103" s="2484"/>
      <c r="Y103" s="2484"/>
      <c r="Z103" s="2484"/>
      <c r="AA103" s="2484"/>
      <c r="AB103" s="2484"/>
      <c r="AC103" s="2484"/>
      <c r="AD103" s="2484"/>
      <c r="AE103" s="2484"/>
      <c r="AF103" s="2484"/>
      <c r="AG103" s="2484"/>
      <c r="AH103" s="2484"/>
      <c r="AI103" s="2484"/>
      <c r="AJ103" s="2484"/>
      <c r="AK103" s="2484"/>
      <c r="AL103" s="2484"/>
      <c r="AM103" s="2484"/>
      <c r="AN103" s="2484"/>
      <c r="AO103" s="2484"/>
      <c r="AP103" s="2484"/>
      <c r="AQ103" s="2484"/>
      <c r="AR103" s="2484"/>
      <c r="AS103" s="2484"/>
      <c r="AT103" s="2484"/>
      <c r="AU103" s="2484"/>
      <c r="AV103" s="2484"/>
      <c r="AW103" s="2484"/>
      <c r="AX103" s="2484"/>
      <c r="AY103" s="2484"/>
      <c r="AZ103" s="2484"/>
      <c r="BA103" s="2484"/>
      <c r="BB103" s="2484"/>
      <c r="BC103" s="2484"/>
      <c r="BD103" s="2484"/>
      <c r="BE103" s="2484"/>
      <c r="BF103" s="2484"/>
      <c r="BG103" s="2484"/>
      <c r="BH103" s="2484"/>
      <c r="BI103" s="2484"/>
      <c r="BJ103" s="2484"/>
      <c r="BK103" s="2484"/>
      <c r="BL103" s="2484"/>
      <c r="BM103" s="2484"/>
      <c r="BN103" s="2484"/>
      <c r="BO103" s="2484"/>
      <c r="BP103" s="2484"/>
      <c r="BQ103" s="2484"/>
      <c r="BR103" s="2484"/>
      <c r="BS103" s="2484"/>
      <c r="BT103" s="2484"/>
      <c r="BU103" s="2484"/>
      <c r="BV103" s="2484"/>
      <c r="BW103" s="2484"/>
      <c r="BX103" s="2484"/>
      <c r="BY103" s="2484"/>
      <c r="BZ103" s="2484"/>
      <c r="CA103" s="2484"/>
      <c r="CB103" s="2484"/>
      <c r="CC103" s="2484"/>
      <c r="CD103" s="2484"/>
      <c r="CE103" s="2484"/>
      <c r="CF103" s="2484"/>
      <c r="CG103" s="2484"/>
      <c r="CH103" s="2484"/>
      <c r="CI103" s="2484"/>
      <c r="CJ103" s="2484"/>
      <c r="CK103" s="2484"/>
      <c r="CL103" s="2484"/>
      <c r="CM103" s="2484"/>
      <c r="CN103" s="2484"/>
      <c r="CO103" s="2484"/>
      <c r="CP103" s="2484"/>
      <c r="CQ103" s="2484"/>
      <c r="CR103" s="2484"/>
      <c r="CS103" s="2484"/>
      <c r="CT103" s="2484"/>
      <c r="CU103" s="2484"/>
      <c r="CV103" s="2484"/>
      <c r="CW103" s="2484"/>
      <c r="CX103" s="2484"/>
      <c r="CY103" s="2484"/>
      <c r="CZ103" s="2484"/>
      <c r="DA103" s="2484"/>
      <c r="DB103" s="2484"/>
      <c r="DC103" s="2484"/>
      <c r="DD103" s="2484"/>
      <c r="DE103" s="2484"/>
      <c r="DF103" s="2484"/>
      <c r="DG103" s="2484"/>
      <c r="DH103" s="2484"/>
      <c r="DI103" s="2484"/>
      <c r="DJ103" s="2484"/>
      <c r="DK103" s="2484"/>
      <c r="DL103" s="2484"/>
      <c r="DM103" s="2484"/>
      <c r="DN103" s="2484"/>
      <c r="DO103" s="2484"/>
      <c r="DP103" s="2484"/>
      <c r="DQ103" s="2484"/>
      <c r="DR103" s="2484"/>
      <c r="DS103" s="2484"/>
      <c r="DT103" s="2484"/>
      <c r="DU103" s="2484"/>
      <c r="DV103" s="2484"/>
      <c r="DW103" s="2484"/>
      <c r="DX103" s="2484"/>
      <c r="DY103" s="2484"/>
      <c r="DZ103" s="2484"/>
      <c r="EA103" s="2484"/>
      <c r="EB103" s="2484"/>
      <c r="EC103" s="2484"/>
      <c r="ED103" s="2484"/>
      <c r="EE103" s="2484"/>
      <c r="EF103" s="2484"/>
      <c r="EG103" s="2484"/>
      <c r="EH103" s="2484"/>
      <c r="EI103" s="2484"/>
      <c r="EJ103" s="2484"/>
      <c r="EK103" s="2484"/>
      <c r="EL103" s="2484"/>
      <c r="EM103" s="2484"/>
      <c r="EN103" s="2484"/>
      <c r="EO103" s="2484"/>
      <c r="EP103" s="2484"/>
      <c r="EQ103" s="2484"/>
      <c r="ER103" s="2484"/>
      <c r="ES103" s="2484"/>
      <c r="ET103" s="2484"/>
      <c r="EU103" s="2484"/>
      <c r="EV103" s="2484"/>
      <c r="EW103" s="2484"/>
      <c r="EX103" s="2484"/>
      <c r="EY103" s="2484"/>
      <c r="EZ103" s="2484"/>
      <c r="FA103" s="2484"/>
      <c r="FB103" s="2484"/>
      <c r="FC103" s="2484"/>
      <c r="FD103" s="2484"/>
      <c r="FE103" s="2484"/>
      <c r="FF103" s="2484"/>
      <c r="FG103" s="2484"/>
      <c r="FH103" s="2484"/>
      <c r="FI103" s="2484"/>
      <c r="FJ103" s="2484"/>
      <c r="FK103" s="2484"/>
      <c r="FL103" s="2484"/>
      <c r="FM103" s="2484"/>
      <c r="FN103" s="2484"/>
      <c r="FO103" s="2484"/>
      <c r="FP103" s="2484"/>
      <c r="FQ103" s="2484"/>
      <c r="FR103" s="2484"/>
      <c r="FS103" s="2484"/>
      <c r="FT103" s="2484"/>
      <c r="FU103" s="2484"/>
      <c r="FV103" s="2484"/>
      <c r="FW103" s="2484"/>
      <c r="FX103" s="2484"/>
      <c r="FY103" s="2484"/>
      <c r="FZ103" s="2484"/>
      <c r="GA103" s="2484"/>
      <c r="GB103" s="2484"/>
      <c r="GC103" s="2484"/>
      <c r="GD103" s="2484"/>
      <c r="GE103" s="2484"/>
      <c r="GF103" s="2484"/>
      <c r="GG103" s="2484"/>
      <c r="GH103" s="2484"/>
      <c r="GI103" s="2484"/>
      <c r="GJ103" s="2484"/>
      <c r="GK103" s="2484"/>
      <c r="GL103" s="2484"/>
      <c r="GM103" s="2484"/>
      <c r="GN103" s="2484"/>
      <c r="GO103" s="2484"/>
      <c r="GP103" s="2484"/>
      <c r="GQ103" s="2484"/>
      <c r="GR103" s="2484"/>
      <c r="GS103" s="2484"/>
      <c r="GT103" s="2484"/>
      <c r="GU103" s="2484"/>
      <c r="GV103" s="2484"/>
      <c r="GW103" s="2484"/>
      <c r="GX103" s="2484"/>
      <c r="GY103" s="2484"/>
      <c r="GZ103" s="2484"/>
      <c r="HA103" s="2484"/>
      <c r="HB103" s="2484"/>
      <c r="HC103" s="2484"/>
      <c r="HD103" s="2484"/>
      <c r="HE103" s="2484"/>
      <c r="HF103" s="2484"/>
      <c r="HG103" s="2484"/>
      <c r="HH103" s="2484"/>
      <c r="HI103" s="2484"/>
      <c r="HJ103" s="2484"/>
      <c r="HK103" s="2484"/>
      <c r="HL103" s="2484"/>
      <c r="HM103" s="2484"/>
      <c r="HN103" s="2484"/>
      <c r="HO103" s="2484"/>
      <c r="HP103" s="2484"/>
      <c r="HQ103" s="2484"/>
      <c r="HR103" s="2484"/>
    </row>
    <row r="104" spans="1:226" s="2485" customFormat="1" ht="15" customHeight="1">
      <c r="A104" s="3112"/>
      <c r="B104" s="3113"/>
      <c r="C104" s="3114"/>
      <c r="D104" s="3134"/>
      <c r="E104" s="2489" t="s">
        <v>741</v>
      </c>
      <c r="F104" s="2490">
        <f>SUM(G104:J104)</f>
        <v>21250</v>
      </c>
      <c r="G104" s="2490"/>
      <c r="H104" s="2490"/>
      <c r="I104" s="2490">
        <v>21250</v>
      </c>
      <c r="J104" s="2491"/>
      <c r="K104" s="2482"/>
    </row>
    <row r="105" spans="1:226" s="2485" customFormat="1" ht="15" customHeight="1">
      <c r="A105" s="3112"/>
      <c r="B105" s="3113"/>
      <c r="C105" s="3114"/>
      <c r="D105" s="3134"/>
      <c r="E105" s="2489" t="s">
        <v>742</v>
      </c>
      <c r="F105" s="2490">
        <f t="shared" ref="F105:F127" si="11">SUM(G105:J105)</f>
        <v>3750</v>
      </c>
      <c r="G105" s="2490">
        <v>3750</v>
      </c>
      <c r="H105" s="2490"/>
      <c r="I105" s="2490"/>
      <c r="J105" s="2491"/>
      <c r="K105" s="2482"/>
    </row>
    <row r="106" spans="1:226" s="2485" customFormat="1" ht="15" customHeight="1">
      <c r="A106" s="3112"/>
      <c r="B106" s="3113"/>
      <c r="C106" s="3114"/>
      <c r="D106" s="3134"/>
      <c r="E106" s="2489" t="s">
        <v>604</v>
      </c>
      <c r="F106" s="2490">
        <f t="shared" si="11"/>
        <v>1020000</v>
      </c>
      <c r="G106" s="2490"/>
      <c r="H106" s="2490"/>
      <c r="I106" s="2490">
        <v>1020000</v>
      </c>
      <c r="J106" s="2491"/>
      <c r="K106" s="2482"/>
    </row>
    <row r="107" spans="1:226" s="2485" customFormat="1" ht="15" customHeight="1">
      <c r="A107" s="3112"/>
      <c r="B107" s="3113"/>
      <c r="C107" s="3114"/>
      <c r="D107" s="3134"/>
      <c r="E107" s="2489" t="s">
        <v>605</v>
      </c>
      <c r="F107" s="2490">
        <f t="shared" si="11"/>
        <v>180000</v>
      </c>
      <c r="G107" s="2490">
        <v>180000</v>
      </c>
      <c r="H107" s="2490"/>
      <c r="I107" s="2490"/>
      <c r="J107" s="2491"/>
      <c r="K107" s="2482"/>
    </row>
    <row r="108" spans="1:226" s="2485" customFormat="1" ht="15" customHeight="1">
      <c r="A108" s="3112"/>
      <c r="B108" s="3113"/>
      <c r="C108" s="3114"/>
      <c r="D108" s="3134"/>
      <c r="E108" s="2489" t="s">
        <v>746</v>
      </c>
      <c r="F108" s="2490">
        <f t="shared" si="11"/>
        <v>289000</v>
      </c>
      <c r="G108" s="2490"/>
      <c r="H108" s="2490"/>
      <c r="I108" s="2490">
        <v>289000</v>
      </c>
      <c r="J108" s="2491"/>
      <c r="K108" s="2482"/>
    </row>
    <row r="109" spans="1:226" s="2485" customFormat="1" ht="15" customHeight="1">
      <c r="A109" s="3112"/>
      <c r="B109" s="3113"/>
      <c r="C109" s="3114"/>
      <c r="D109" s="3134"/>
      <c r="E109" s="2489" t="s">
        <v>747</v>
      </c>
      <c r="F109" s="2490">
        <f t="shared" si="11"/>
        <v>51000</v>
      </c>
      <c r="G109" s="2490">
        <v>51000</v>
      </c>
      <c r="H109" s="2490"/>
      <c r="I109" s="2490"/>
      <c r="J109" s="2491"/>
      <c r="K109" s="2482"/>
    </row>
    <row r="110" spans="1:226" s="2485" customFormat="1" ht="15" customHeight="1">
      <c r="A110" s="3112"/>
      <c r="B110" s="3113"/>
      <c r="C110" s="3114"/>
      <c r="D110" s="3134"/>
      <c r="E110" s="2489" t="s">
        <v>748</v>
      </c>
      <c r="F110" s="2490">
        <f t="shared" si="11"/>
        <v>21250</v>
      </c>
      <c r="G110" s="2490"/>
      <c r="H110" s="2490"/>
      <c r="I110" s="2490">
        <v>21250</v>
      </c>
      <c r="J110" s="2491"/>
      <c r="K110" s="2482"/>
    </row>
    <row r="111" spans="1:226" s="2485" customFormat="1" ht="15" customHeight="1">
      <c r="A111" s="3112"/>
      <c r="B111" s="3113"/>
      <c r="C111" s="3114"/>
      <c r="D111" s="3134"/>
      <c r="E111" s="2489" t="s">
        <v>749</v>
      </c>
      <c r="F111" s="2490">
        <f t="shared" si="11"/>
        <v>3750</v>
      </c>
      <c r="G111" s="2490">
        <v>3750</v>
      </c>
      <c r="H111" s="2490"/>
      <c r="I111" s="2490"/>
      <c r="J111" s="2491"/>
      <c r="K111" s="2482"/>
    </row>
    <row r="112" spans="1:226" s="2485" customFormat="1" ht="15" customHeight="1">
      <c r="A112" s="3112"/>
      <c r="B112" s="3113"/>
      <c r="C112" s="3114"/>
      <c r="D112" s="3134"/>
      <c r="E112" s="2489" t="s">
        <v>608</v>
      </c>
      <c r="F112" s="2490">
        <f t="shared" si="11"/>
        <v>374000</v>
      </c>
      <c r="G112" s="2490"/>
      <c r="H112" s="2490"/>
      <c r="I112" s="2490">
        <v>374000</v>
      </c>
      <c r="J112" s="2491"/>
      <c r="K112" s="2482"/>
    </row>
    <row r="113" spans="1:11" s="2485" customFormat="1" ht="15" customHeight="1">
      <c r="A113" s="3112"/>
      <c r="B113" s="3113"/>
      <c r="C113" s="3114"/>
      <c r="D113" s="3134"/>
      <c r="E113" s="2489" t="s">
        <v>609</v>
      </c>
      <c r="F113" s="2490">
        <f t="shared" si="11"/>
        <v>66000</v>
      </c>
      <c r="G113" s="2490">
        <v>66000</v>
      </c>
      <c r="H113" s="2490"/>
      <c r="I113" s="2490"/>
      <c r="J113" s="2491"/>
      <c r="K113" s="2482"/>
    </row>
    <row r="114" spans="1:11" s="2485" customFormat="1" ht="15" customHeight="1">
      <c r="A114" s="3112"/>
      <c r="B114" s="3113"/>
      <c r="C114" s="3114"/>
      <c r="D114" s="3134"/>
      <c r="E114" s="2489" t="s">
        <v>728</v>
      </c>
      <c r="F114" s="2490">
        <f t="shared" si="11"/>
        <v>4250</v>
      </c>
      <c r="G114" s="2490"/>
      <c r="H114" s="2490"/>
      <c r="I114" s="2490">
        <v>4250</v>
      </c>
      <c r="J114" s="2491"/>
      <c r="K114" s="2482"/>
    </row>
    <row r="115" spans="1:11" s="2485" customFormat="1" ht="15" customHeight="1">
      <c r="A115" s="3112"/>
      <c r="B115" s="3113"/>
      <c r="C115" s="3114"/>
      <c r="D115" s="3134"/>
      <c r="E115" s="2489" t="s">
        <v>700</v>
      </c>
      <c r="F115" s="2490">
        <f t="shared" si="11"/>
        <v>750</v>
      </c>
      <c r="G115" s="2490">
        <v>750</v>
      </c>
      <c r="H115" s="2490"/>
      <c r="I115" s="2490"/>
      <c r="J115" s="2491"/>
      <c r="K115" s="2482"/>
    </row>
    <row r="116" spans="1:11" s="2485" customFormat="1" ht="15" customHeight="1">
      <c r="A116" s="3112"/>
      <c r="B116" s="3113"/>
      <c r="C116" s="3114"/>
      <c r="D116" s="3134"/>
      <c r="E116" s="2489" t="s">
        <v>610</v>
      </c>
      <c r="F116" s="2490">
        <f t="shared" si="11"/>
        <v>8500</v>
      </c>
      <c r="G116" s="2490"/>
      <c r="H116" s="2490"/>
      <c r="I116" s="2490">
        <v>8500</v>
      </c>
      <c r="J116" s="2491"/>
      <c r="K116" s="2482"/>
    </row>
    <row r="117" spans="1:11" s="2485" customFormat="1" ht="15" customHeight="1">
      <c r="A117" s="3112"/>
      <c r="B117" s="3113"/>
      <c r="C117" s="3114"/>
      <c r="D117" s="3134"/>
      <c r="E117" s="2489" t="s">
        <v>611</v>
      </c>
      <c r="F117" s="2490">
        <f t="shared" si="11"/>
        <v>1500</v>
      </c>
      <c r="G117" s="2490">
        <v>1500</v>
      </c>
      <c r="H117" s="2490"/>
      <c r="I117" s="2490"/>
      <c r="J117" s="2491"/>
      <c r="K117" s="2482"/>
    </row>
    <row r="118" spans="1:11" s="2485" customFormat="1" ht="15" customHeight="1">
      <c r="A118" s="3112"/>
      <c r="B118" s="3113"/>
      <c r="C118" s="3114"/>
      <c r="D118" s="3134"/>
      <c r="E118" s="2489" t="s">
        <v>612</v>
      </c>
      <c r="F118" s="2490">
        <f t="shared" si="11"/>
        <v>68000</v>
      </c>
      <c r="G118" s="2490"/>
      <c r="H118" s="2490"/>
      <c r="I118" s="2490">
        <v>68000</v>
      </c>
      <c r="J118" s="2491"/>
      <c r="K118" s="2482"/>
    </row>
    <row r="119" spans="1:11" s="2485" customFormat="1" ht="15" customHeight="1">
      <c r="A119" s="3112"/>
      <c r="B119" s="3113"/>
      <c r="C119" s="3114"/>
      <c r="D119" s="3134"/>
      <c r="E119" s="2489" t="s">
        <v>613</v>
      </c>
      <c r="F119" s="2490">
        <f t="shared" si="11"/>
        <v>12000</v>
      </c>
      <c r="G119" s="2490">
        <v>12000</v>
      </c>
      <c r="H119" s="2490"/>
      <c r="I119" s="2490"/>
      <c r="J119" s="2491"/>
      <c r="K119" s="2482"/>
    </row>
    <row r="120" spans="1:11" s="2485" customFormat="1" ht="15" customHeight="1">
      <c r="A120" s="3112"/>
      <c r="B120" s="3113"/>
      <c r="C120" s="3114"/>
      <c r="D120" s="3134"/>
      <c r="E120" s="2489" t="s">
        <v>702</v>
      </c>
      <c r="F120" s="2490">
        <f t="shared" si="11"/>
        <v>25500</v>
      </c>
      <c r="G120" s="2490"/>
      <c r="H120" s="2490"/>
      <c r="I120" s="2490">
        <v>25500</v>
      </c>
      <c r="J120" s="2491"/>
      <c r="K120" s="2482"/>
    </row>
    <row r="121" spans="1:11" s="2485" customFormat="1" ht="15" customHeight="1">
      <c r="A121" s="3112"/>
      <c r="B121" s="3113"/>
      <c r="C121" s="3114"/>
      <c r="D121" s="3134"/>
      <c r="E121" s="2489" t="s">
        <v>703</v>
      </c>
      <c r="F121" s="2490">
        <f t="shared" si="11"/>
        <v>4500</v>
      </c>
      <c r="G121" s="2490">
        <v>4500</v>
      </c>
      <c r="H121" s="2490"/>
      <c r="I121" s="2490"/>
      <c r="J121" s="2491"/>
      <c r="K121" s="2482"/>
    </row>
    <row r="122" spans="1:11" s="2485" customFormat="1" ht="15" customHeight="1">
      <c r="A122" s="3112"/>
      <c r="B122" s="3113"/>
      <c r="C122" s="3114"/>
      <c r="D122" s="3134"/>
      <c r="E122" s="2489" t="s">
        <v>754</v>
      </c>
      <c r="F122" s="2490">
        <f t="shared" si="11"/>
        <v>25500</v>
      </c>
      <c r="G122" s="2490"/>
      <c r="H122" s="2490"/>
      <c r="I122" s="2490">
        <v>25500</v>
      </c>
      <c r="J122" s="2491"/>
      <c r="K122" s="2482"/>
    </row>
    <row r="123" spans="1:11" s="2485" customFormat="1" ht="15" customHeight="1">
      <c r="A123" s="3112"/>
      <c r="B123" s="3113"/>
      <c r="C123" s="3114"/>
      <c r="D123" s="3134"/>
      <c r="E123" s="2489" t="s">
        <v>755</v>
      </c>
      <c r="F123" s="2490">
        <f t="shared" si="11"/>
        <v>4500</v>
      </c>
      <c r="G123" s="2490">
        <v>4500</v>
      </c>
      <c r="H123" s="2490"/>
      <c r="I123" s="2490"/>
      <c r="J123" s="2491"/>
      <c r="K123" s="2482"/>
    </row>
    <row r="124" spans="1:11" s="2485" customFormat="1" ht="15" customHeight="1">
      <c r="A124" s="3112"/>
      <c r="B124" s="3113"/>
      <c r="C124" s="3114"/>
      <c r="D124" s="3134"/>
      <c r="E124" s="2489" t="s">
        <v>756</v>
      </c>
      <c r="F124" s="2490">
        <f t="shared" si="11"/>
        <v>89250</v>
      </c>
      <c r="G124" s="2490"/>
      <c r="H124" s="2490"/>
      <c r="I124" s="2490">
        <v>89250</v>
      </c>
      <c r="J124" s="2491"/>
      <c r="K124" s="2482"/>
    </row>
    <row r="125" spans="1:11" s="2485" customFormat="1" ht="15" customHeight="1">
      <c r="A125" s="3112"/>
      <c r="B125" s="3113"/>
      <c r="C125" s="3114"/>
      <c r="D125" s="3134"/>
      <c r="E125" s="2489" t="s">
        <v>757</v>
      </c>
      <c r="F125" s="2490">
        <f t="shared" si="11"/>
        <v>15750</v>
      </c>
      <c r="G125" s="2490">
        <v>15750</v>
      </c>
      <c r="H125" s="2490"/>
      <c r="I125" s="2490"/>
      <c r="J125" s="2491"/>
      <c r="K125" s="2482"/>
    </row>
    <row r="126" spans="1:11" s="2485" customFormat="1" ht="15" customHeight="1">
      <c r="A126" s="3112"/>
      <c r="B126" s="3113"/>
      <c r="C126" s="3114"/>
      <c r="D126" s="3134"/>
      <c r="E126" s="2489" t="s">
        <v>616</v>
      </c>
      <c r="F126" s="2490">
        <f t="shared" si="11"/>
        <v>187000</v>
      </c>
      <c r="G126" s="2490"/>
      <c r="H126" s="2490"/>
      <c r="I126" s="2490">
        <v>187000</v>
      </c>
      <c r="J126" s="2491"/>
      <c r="K126" s="2482"/>
    </row>
    <row r="127" spans="1:11" s="2485" customFormat="1" ht="15" customHeight="1">
      <c r="A127" s="3112"/>
      <c r="B127" s="3113"/>
      <c r="C127" s="3114"/>
      <c r="D127" s="3134"/>
      <c r="E127" s="2489" t="s">
        <v>617</v>
      </c>
      <c r="F127" s="2490">
        <f t="shared" si="11"/>
        <v>33000</v>
      </c>
      <c r="G127" s="2490">
        <v>33000</v>
      </c>
      <c r="H127" s="2490"/>
      <c r="I127" s="2490"/>
      <c r="J127" s="2491"/>
      <c r="K127" s="2482"/>
    </row>
    <row r="128" spans="1:11" s="2485" customFormat="1" ht="15" customHeight="1">
      <c r="A128" s="3112"/>
      <c r="B128" s="3113"/>
      <c r="C128" s="3114"/>
      <c r="D128" s="3134"/>
      <c r="E128" s="2492" t="s">
        <v>1087</v>
      </c>
      <c r="F128" s="2487">
        <f>SUM(F129:F130)</f>
        <v>60000</v>
      </c>
      <c r="G128" s="2487">
        <f>SUM(G129:G130)</f>
        <v>9000</v>
      </c>
      <c r="H128" s="2487">
        <f>SUM(H129:H130)</f>
        <v>0</v>
      </c>
      <c r="I128" s="2487">
        <f>SUM(I129:I130)</f>
        <v>51000</v>
      </c>
      <c r="J128" s="2488">
        <f>SUM(J129:J130)</f>
        <v>0</v>
      </c>
      <c r="K128" s="2482"/>
    </row>
    <row r="129" spans="1:226" s="2485" customFormat="1" ht="15" customHeight="1">
      <c r="A129" s="3112"/>
      <c r="B129" s="3113"/>
      <c r="C129" s="3114"/>
      <c r="D129" s="3134"/>
      <c r="E129" s="2489" t="s">
        <v>691</v>
      </c>
      <c r="F129" s="2490">
        <f t="shared" ref="F129:F130" si="12">SUM(G129:J129)</f>
        <v>51000</v>
      </c>
      <c r="G129" s="2490"/>
      <c r="H129" s="2490"/>
      <c r="I129" s="2490">
        <v>51000</v>
      </c>
      <c r="J129" s="2491"/>
      <c r="K129" s="2482"/>
    </row>
    <row r="130" spans="1:226" s="2485" customFormat="1" ht="15" customHeight="1">
      <c r="A130" s="3112"/>
      <c r="B130" s="3113"/>
      <c r="C130" s="3114"/>
      <c r="D130" s="3134"/>
      <c r="E130" s="2503">
        <v>6069</v>
      </c>
      <c r="F130" s="2490">
        <f t="shared" si="12"/>
        <v>9000</v>
      </c>
      <c r="G130" s="2490">
        <v>9000</v>
      </c>
      <c r="H130" s="2490"/>
      <c r="I130" s="2490"/>
      <c r="J130" s="2491"/>
      <c r="K130" s="2482"/>
    </row>
    <row r="131" spans="1:226" s="2485" customFormat="1" ht="22.5">
      <c r="A131" s="3112" t="s">
        <v>1103</v>
      </c>
      <c r="B131" s="3113" t="s">
        <v>1104</v>
      </c>
      <c r="C131" s="3114">
        <v>750</v>
      </c>
      <c r="D131" s="3134" t="s">
        <v>738</v>
      </c>
      <c r="E131" s="2479" t="s">
        <v>1086</v>
      </c>
      <c r="F131" s="2480">
        <f>SUM(F132,F140)</f>
        <v>255504</v>
      </c>
      <c r="G131" s="2480">
        <f>SUM(G132,G140)</f>
        <v>38326</v>
      </c>
      <c r="H131" s="2480">
        <f>SUM(H132,H140)</f>
        <v>0</v>
      </c>
      <c r="I131" s="2480">
        <f>SUM(I132,I140)</f>
        <v>217178</v>
      </c>
      <c r="J131" s="2481">
        <f>SUM(J132,J140)</f>
        <v>0</v>
      </c>
      <c r="K131" s="2495"/>
    </row>
    <row r="132" spans="1:226" s="2485" customFormat="1" ht="21">
      <c r="A132" s="3112"/>
      <c r="B132" s="3113"/>
      <c r="C132" s="3114"/>
      <c r="D132" s="3134"/>
      <c r="E132" s="2486" t="s">
        <v>1092</v>
      </c>
      <c r="F132" s="2487">
        <f>SUM(F133,F137)</f>
        <v>55504</v>
      </c>
      <c r="G132" s="2487">
        <f>SUM(G133,G137)</f>
        <v>8326</v>
      </c>
      <c r="H132" s="2487">
        <f>SUM(H133,H137)</f>
        <v>0</v>
      </c>
      <c r="I132" s="2487">
        <f>SUM(I133,I137)</f>
        <v>47178</v>
      </c>
      <c r="J132" s="2488">
        <f>SUM(J133,J137)</f>
        <v>0</v>
      </c>
      <c r="K132" s="2482"/>
    </row>
    <row r="133" spans="1:226" s="2485" customFormat="1" ht="15" hidden="1" customHeight="1">
      <c r="A133" s="3112"/>
      <c r="B133" s="3113"/>
      <c r="C133" s="3114"/>
      <c r="D133" s="3134"/>
      <c r="E133" s="2497" t="s">
        <v>1093</v>
      </c>
      <c r="F133" s="2498">
        <f>SUM(F134:F136)</f>
        <v>0</v>
      </c>
      <c r="G133" s="2498">
        <f>SUM(G134:G136)</f>
        <v>0</v>
      </c>
      <c r="H133" s="2498">
        <f>SUM(H134:H136)</f>
        <v>0</v>
      </c>
      <c r="I133" s="2498">
        <f>SUM(I134:I136)</f>
        <v>0</v>
      </c>
      <c r="J133" s="2499">
        <f>SUM(J134:J136)</f>
        <v>0</v>
      </c>
      <c r="K133" s="2482"/>
    </row>
    <row r="134" spans="1:226" s="2485" customFormat="1" ht="15" hidden="1" customHeight="1">
      <c r="A134" s="3112"/>
      <c r="B134" s="3113"/>
      <c r="C134" s="3114"/>
      <c r="D134" s="3134"/>
      <c r="E134" s="2489"/>
      <c r="F134" s="2490">
        <f>SUM(G134:J134)</f>
        <v>0</v>
      </c>
      <c r="G134" s="2490"/>
      <c r="H134" s="2490"/>
      <c r="I134" s="2490"/>
      <c r="J134" s="2491"/>
      <c r="K134" s="2482"/>
    </row>
    <row r="135" spans="1:226" s="2485" customFormat="1" ht="15" hidden="1" customHeight="1">
      <c r="A135" s="3112"/>
      <c r="B135" s="3113"/>
      <c r="C135" s="3114"/>
      <c r="D135" s="3134"/>
      <c r="E135" s="2489"/>
      <c r="F135" s="2490">
        <f>SUM(G135:J135)</f>
        <v>0</v>
      </c>
      <c r="G135" s="2490"/>
      <c r="H135" s="2490"/>
      <c r="I135" s="2490"/>
      <c r="J135" s="2491"/>
      <c r="K135" s="2482"/>
    </row>
    <row r="136" spans="1:226" s="2485" customFormat="1" ht="15" hidden="1" customHeight="1">
      <c r="A136" s="3112"/>
      <c r="B136" s="3113"/>
      <c r="C136" s="3114"/>
      <c r="D136" s="3134"/>
      <c r="E136" s="2489"/>
      <c r="F136" s="2490">
        <f>SUM(G136:J136)</f>
        <v>0</v>
      </c>
      <c r="G136" s="2490"/>
      <c r="H136" s="2490"/>
      <c r="I136" s="2490"/>
      <c r="J136" s="2491"/>
      <c r="K136" s="2482"/>
    </row>
    <row r="137" spans="1:226" s="2485" customFormat="1" ht="22.5">
      <c r="A137" s="3112"/>
      <c r="B137" s="3113"/>
      <c r="C137" s="3114"/>
      <c r="D137" s="3134"/>
      <c r="E137" s="2497" t="s">
        <v>1094</v>
      </c>
      <c r="F137" s="2498">
        <f>SUM(F138:F139)</f>
        <v>55504</v>
      </c>
      <c r="G137" s="2498">
        <f>SUM(G138:G139)</f>
        <v>8326</v>
      </c>
      <c r="H137" s="2498">
        <f>SUM(H138:H139)</f>
        <v>0</v>
      </c>
      <c r="I137" s="2498">
        <f>SUM(I138:I139)</f>
        <v>47178</v>
      </c>
      <c r="J137" s="2499">
        <f>SUM(J138:J139)</f>
        <v>0</v>
      </c>
      <c r="K137" s="2495"/>
      <c r="L137" s="2483"/>
      <c r="M137" s="2483"/>
      <c r="N137" s="2483"/>
      <c r="O137" s="2484"/>
      <c r="P137" s="2484"/>
      <c r="Q137" s="2484"/>
      <c r="R137" s="2484"/>
      <c r="S137" s="2484"/>
      <c r="T137" s="2484"/>
      <c r="U137" s="2484"/>
      <c r="V137" s="2484"/>
      <c r="W137" s="2484"/>
      <c r="X137" s="2484"/>
      <c r="Y137" s="2484"/>
      <c r="Z137" s="2484"/>
      <c r="AA137" s="2484"/>
      <c r="AB137" s="2484"/>
      <c r="AC137" s="2484"/>
      <c r="AD137" s="2484"/>
      <c r="AE137" s="2484"/>
      <c r="AF137" s="2484"/>
      <c r="AG137" s="2484"/>
      <c r="AH137" s="2484"/>
      <c r="AI137" s="2484"/>
      <c r="AJ137" s="2484"/>
      <c r="AK137" s="2484"/>
      <c r="AL137" s="2484"/>
      <c r="AM137" s="2484"/>
      <c r="AN137" s="2484"/>
      <c r="AO137" s="2484"/>
      <c r="AP137" s="2484"/>
      <c r="AQ137" s="2484"/>
      <c r="AR137" s="2484"/>
      <c r="AS137" s="2484"/>
      <c r="AT137" s="2484"/>
      <c r="AU137" s="2484"/>
      <c r="AV137" s="2484"/>
      <c r="AW137" s="2484"/>
      <c r="AX137" s="2484"/>
      <c r="AY137" s="2484"/>
      <c r="AZ137" s="2484"/>
      <c r="BA137" s="2484"/>
      <c r="BB137" s="2484"/>
      <c r="BC137" s="2484"/>
      <c r="BD137" s="2484"/>
      <c r="BE137" s="2484"/>
      <c r="BF137" s="2484"/>
      <c r="BG137" s="2484"/>
      <c r="BH137" s="2484"/>
      <c r="BI137" s="2484"/>
      <c r="BJ137" s="2484"/>
      <c r="BK137" s="2484"/>
      <c r="BL137" s="2484"/>
      <c r="BM137" s="2484"/>
      <c r="BN137" s="2484"/>
      <c r="BO137" s="2484"/>
      <c r="BP137" s="2484"/>
      <c r="BQ137" s="2484"/>
      <c r="BR137" s="2484"/>
      <c r="BS137" s="2484"/>
      <c r="BT137" s="2484"/>
      <c r="BU137" s="2484"/>
      <c r="BV137" s="2484"/>
      <c r="BW137" s="2484"/>
      <c r="BX137" s="2484"/>
      <c r="BY137" s="2484"/>
      <c r="BZ137" s="2484"/>
      <c r="CA137" s="2484"/>
      <c r="CB137" s="2484"/>
      <c r="CC137" s="2484"/>
      <c r="CD137" s="2484"/>
      <c r="CE137" s="2484"/>
      <c r="CF137" s="2484"/>
      <c r="CG137" s="2484"/>
      <c r="CH137" s="2484"/>
      <c r="CI137" s="2484"/>
      <c r="CJ137" s="2484"/>
      <c r="CK137" s="2484"/>
      <c r="CL137" s="2484"/>
      <c r="CM137" s="2484"/>
      <c r="CN137" s="2484"/>
      <c r="CO137" s="2484"/>
      <c r="CP137" s="2484"/>
      <c r="CQ137" s="2484"/>
      <c r="CR137" s="2484"/>
      <c r="CS137" s="2484"/>
      <c r="CT137" s="2484"/>
      <c r="CU137" s="2484"/>
      <c r="CV137" s="2484"/>
      <c r="CW137" s="2484"/>
      <c r="CX137" s="2484"/>
      <c r="CY137" s="2484"/>
      <c r="CZ137" s="2484"/>
      <c r="DA137" s="2484"/>
      <c r="DB137" s="2484"/>
      <c r="DC137" s="2484"/>
      <c r="DD137" s="2484"/>
      <c r="DE137" s="2484"/>
      <c r="DF137" s="2484"/>
      <c r="DG137" s="2484"/>
      <c r="DH137" s="2484"/>
      <c r="DI137" s="2484"/>
      <c r="DJ137" s="2484"/>
      <c r="DK137" s="2484"/>
      <c r="DL137" s="2484"/>
      <c r="DM137" s="2484"/>
      <c r="DN137" s="2484"/>
      <c r="DO137" s="2484"/>
      <c r="DP137" s="2484"/>
      <c r="DQ137" s="2484"/>
      <c r="DR137" s="2484"/>
      <c r="DS137" s="2484"/>
      <c r="DT137" s="2484"/>
      <c r="DU137" s="2484"/>
      <c r="DV137" s="2484"/>
      <c r="DW137" s="2484"/>
      <c r="DX137" s="2484"/>
      <c r="DY137" s="2484"/>
      <c r="DZ137" s="2484"/>
      <c r="EA137" s="2484"/>
      <c r="EB137" s="2484"/>
      <c r="EC137" s="2484"/>
      <c r="ED137" s="2484"/>
      <c r="EE137" s="2484"/>
      <c r="EF137" s="2484"/>
      <c r="EG137" s="2484"/>
      <c r="EH137" s="2484"/>
      <c r="EI137" s="2484"/>
      <c r="EJ137" s="2484"/>
      <c r="EK137" s="2484"/>
      <c r="EL137" s="2484"/>
      <c r="EM137" s="2484"/>
      <c r="EN137" s="2484"/>
      <c r="EO137" s="2484"/>
      <c r="EP137" s="2484"/>
      <c r="EQ137" s="2484"/>
      <c r="ER137" s="2484"/>
      <c r="ES137" s="2484"/>
      <c r="ET137" s="2484"/>
      <c r="EU137" s="2484"/>
      <c r="EV137" s="2484"/>
      <c r="EW137" s="2484"/>
      <c r="EX137" s="2484"/>
      <c r="EY137" s="2484"/>
      <c r="EZ137" s="2484"/>
      <c r="FA137" s="2484"/>
      <c r="FB137" s="2484"/>
      <c r="FC137" s="2484"/>
      <c r="FD137" s="2484"/>
      <c r="FE137" s="2484"/>
      <c r="FF137" s="2484"/>
      <c r="FG137" s="2484"/>
      <c r="FH137" s="2484"/>
      <c r="FI137" s="2484"/>
      <c r="FJ137" s="2484"/>
      <c r="FK137" s="2484"/>
      <c r="FL137" s="2484"/>
      <c r="FM137" s="2484"/>
      <c r="FN137" s="2484"/>
      <c r="FO137" s="2484"/>
      <c r="FP137" s="2484"/>
      <c r="FQ137" s="2484"/>
      <c r="FR137" s="2484"/>
      <c r="FS137" s="2484"/>
      <c r="FT137" s="2484"/>
      <c r="FU137" s="2484"/>
      <c r="FV137" s="2484"/>
      <c r="FW137" s="2484"/>
      <c r="FX137" s="2484"/>
      <c r="FY137" s="2484"/>
      <c r="FZ137" s="2484"/>
      <c r="GA137" s="2484"/>
      <c r="GB137" s="2484"/>
      <c r="GC137" s="2484"/>
      <c r="GD137" s="2484"/>
      <c r="GE137" s="2484"/>
      <c r="GF137" s="2484"/>
      <c r="GG137" s="2484"/>
      <c r="GH137" s="2484"/>
      <c r="GI137" s="2484"/>
      <c r="GJ137" s="2484"/>
      <c r="GK137" s="2484"/>
      <c r="GL137" s="2484"/>
      <c r="GM137" s="2484"/>
      <c r="GN137" s="2484"/>
      <c r="GO137" s="2484"/>
      <c r="GP137" s="2484"/>
      <c r="GQ137" s="2484"/>
      <c r="GR137" s="2484"/>
      <c r="GS137" s="2484"/>
      <c r="GT137" s="2484"/>
      <c r="GU137" s="2484"/>
      <c r="GV137" s="2484"/>
      <c r="GW137" s="2484"/>
      <c r="GX137" s="2484"/>
      <c r="GY137" s="2484"/>
      <c r="GZ137" s="2484"/>
      <c r="HA137" s="2484"/>
      <c r="HB137" s="2484"/>
      <c r="HC137" s="2484"/>
      <c r="HD137" s="2484"/>
      <c r="HE137" s="2484"/>
      <c r="HF137" s="2484"/>
      <c r="HG137" s="2484"/>
      <c r="HH137" s="2484"/>
      <c r="HI137" s="2484"/>
      <c r="HJ137" s="2484"/>
      <c r="HK137" s="2484"/>
      <c r="HL137" s="2484"/>
      <c r="HM137" s="2484"/>
      <c r="HN137" s="2484"/>
      <c r="HO137" s="2484"/>
      <c r="HP137" s="2484"/>
      <c r="HQ137" s="2484"/>
      <c r="HR137" s="2484"/>
    </row>
    <row r="138" spans="1:226" s="2485" customFormat="1" ht="15" customHeight="1">
      <c r="A138" s="3112"/>
      <c r="B138" s="3113"/>
      <c r="C138" s="3114"/>
      <c r="D138" s="3134"/>
      <c r="E138" s="2489" t="s">
        <v>608</v>
      </c>
      <c r="F138" s="2490">
        <f>SUM(G138:J138)</f>
        <v>47178</v>
      </c>
      <c r="G138" s="2490"/>
      <c r="H138" s="2490"/>
      <c r="I138" s="2490">
        <v>47178</v>
      </c>
      <c r="J138" s="2491"/>
      <c r="K138" s="2495"/>
      <c r="L138" s="2483"/>
      <c r="M138" s="2483"/>
      <c r="N138" s="2483"/>
    </row>
    <row r="139" spans="1:226" s="2485" customFormat="1" ht="15" customHeight="1">
      <c r="A139" s="3112"/>
      <c r="B139" s="3113"/>
      <c r="C139" s="3114"/>
      <c r="D139" s="3134"/>
      <c r="E139" s="2489" t="s">
        <v>609</v>
      </c>
      <c r="F139" s="2490">
        <f>SUM(G139:J139)</f>
        <v>8326</v>
      </c>
      <c r="G139" s="2490">
        <v>8326</v>
      </c>
      <c r="H139" s="2490"/>
      <c r="I139" s="2490"/>
      <c r="J139" s="2491"/>
      <c r="K139" s="2495"/>
      <c r="L139" s="2483"/>
      <c r="M139" s="2483"/>
      <c r="N139" s="2483"/>
    </row>
    <row r="140" spans="1:226" s="2485" customFormat="1" ht="15" customHeight="1">
      <c r="A140" s="3112"/>
      <c r="B140" s="3113"/>
      <c r="C140" s="3114"/>
      <c r="D140" s="3134"/>
      <c r="E140" s="2492" t="s">
        <v>1087</v>
      </c>
      <c r="F140" s="2487">
        <f>SUM(F141:F143)</f>
        <v>200000</v>
      </c>
      <c r="G140" s="2487">
        <f>SUM(G141:G143)</f>
        <v>30000</v>
      </c>
      <c r="H140" s="2487">
        <f>SUM(H141:H143)</f>
        <v>0</v>
      </c>
      <c r="I140" s="2487">
        <f>SUM(I141:I143)</f>
        <v>170000</v>
      </c>
      <c r="J140" s="2488">
        <f>SUM(J141:J143)</f>
        <v>0</v>
      </c>
      <c r="K140" s="2482"/>
    </row>
    <row r="141" spans="1:226" s="2485" customFormat="1" ht="15" customHeight="1">
      <c r="A141" s="3112"/>
      <c r="B141" s="3113"/>
      <c r="C141" s="3114"/>
      <c r="D141" s="3134"/>
      <c r="E141" s="2489" t="s">
        <v>691</v>
      </c>
      <c r="F141" s="2490">
        <f>SUM(G141:J141)</f>
        <v>170000</v>
      </c>
      <c r="G141" s="2490"/>
      <c r="H141" s="2490"/>
      <c r="I141" s="2490">
        <v>170000</v>
      </c>
      <c r="J141" s="2491"/>
      <c r="K141" s="2482"/>
    </row>
    <row r="142" spans="1:226" s="2485" customFormat="1" ht="15" customHeight="1">
      <c r="A142" s="3112"/>
      <c r="B142" s="3113"/>
      <c r="C142" s="3114"/>
      <c r="D142" s="3134"/>
      <c r="E142" s="2489" t="s">
        <v>674</v>
      </c>
      <c r="F142" s="2490">
        <f>SUM(G142:J142)</f>
        <v>30000</v>
      </c>
      <c r="G142" s="2490">
        <v>30000</v>
      </c>
      <c r="H142" s="2490"/>
      <c r="I142" s="2490"/>
      <c r="J142" s="2491"/>
      <c r="K142" s="2482"/>
    </row>
    <row r="143" spans="1:226" s="2485" customFormat="1" ht="15" hidden="1" customHeight="1">
      <c r="A143" s="3112"/>
      <c r="B143" s="3113"/>
      <c r="C143" s="3114"/>
      <c r="D143" s="3134"/>
      <c r="E143" s="2503"/>
      <c r="F143" s="2490">
        <f>SUM(G143:J143)</f>
        <v>0</v>
      </c>
      <c r="G143" s="2490"/>
      <c r="H143" s="2490"/>
      <c r="I143" s="2490"/>
      <c r="J143" s="2491"/>
      <c r="K143" s="2482"/>
    </row>
    <row r="144" spans="1:226" s="2485" customFormat="1" ht="22.5">
      <c r="A144" s="3112" t="s">
        <v>1105</v>
      </c>
      <c r="B144" s="3113" t="s">
        <v>1106</v>
      </c>
      <c r="C144" s="3114">
        <v>750</v>
      </c>
      <c r="D144" s="3134" t="s">
        <v>738</v>
      </c>
      <c r="E144" s="2479" t="s">
        <v>1086</v>
      </c>
      <c r="F144" s="2480">
        <f>SUM(F145,F154)</f>
        <v>300000</v>
      </c>
      <c r="G144" s="2480">
        <f>SUM(G145,G154)</f>
        <v>45000</v>
      </c>
      <c r="H144" s="2480">
        <f>SUM(H145,H154)</f>
        <v>0</v>
      </c>
      <c r="I144" s="2480">
        <f>SUM(I145,I154)</f>
        <v>255000</v>
      </c>
      <c r="J144" s="2481">
        <f>SUM(J145,J154)</f>
        <v>0</v>
      </c>
      <c r="K144" s="2482"/>
    </row>
    <row r="145" spans="1:226" s="2485" customFormat="1" ht="21">
      <c r="A145" s="3112"/>
      <c r="B145" s="3113"/>
      <c r="C145" s="3114"/>
      <c r="D145" s="3134"/>
      <c r="E145" s="2486" t="s">
        <v>1092</v>
      </c>
      <c r="F145" s="2487">
        <f>SUM(F146,F149)</f>
        <v>300000</v>
      </c>
      <c r="G145" s="2487">
        <f>SUM(G146,G149)</f>
        <v>45000</v>
      </c>
      <c r="H145" s="2487">
        <f>SUM(H146,H149)</f>
        <v>0</v>
      </c>
      <c r="I145" s="2487">
        <f>SUM(I146,I149)</f>
        <v>255000</v>
      </c>
      <c r="J145" s="2488">
        <f>SUM(J146,J149)</f>
        <v>0</v>
      </c>
      <c r="K145" s="2482"/>
    </row>
    <row r="146" spans="1:226" s="2485" customFormat="1" ht="22.5">
      <c r="A146" s="3112"/>
      <c r="B146" s="3113"/>
      <c r="C146" s="3114"/>
      <c r="D146" s="3134"/>
      <c r="E146" s="2497" t="s">
        <v>1093</v>
      </c>
      <c r="F146" s="2498">
        <f>SUM(F147:F148)</f>
        <v>75000</v>
      </c>
      <c r="G146" s="2498">
        <f>SUM(G147:G148)</f>
        <v>11250</v>
      </c>
      <c r="H146" s="2498">
        <f>SUM(H147:H148)</f>
        <v>0</v>
      </c>
      <c r="I146" s="2498">
        <f>SUM(I147:I148)</f>
        <v>63750</v>
      </c>
      <c r="J146" s="2499">
        <f>SUM(J147:J148)</f>
        <v>0</v>
      </c>
      <c r="K146" s="2495"/>
    </row>
    <row r="147" spans="1:226" s="2485" customFormat="1" ht="15" customHeight="1">
      <c r="A147" s="3112"/>
      <c r="B147" s="3113"/>
      <c r="C147" s="3114"/>
      <c r="D147" s="3134"/>
      <c r="E147" s="2489" t="s">
        <v>599</v>
      </c>
      <c r="F147" s="2490">
        <f>SUM(G147:J147)</f>
        <v>63750</v>
      </c>
      <c r="G147" s="2490"/>
      <c r="H147" s="2490"/>
      <c r="I147" s="2490">
        <v>63750</v>
      </c>
      <c r="J147" s="2491"/>
      <c r="K147" s="2482"/>
    </row>
    <row r="148" spans="1:226" s="2485" customFormat="1" ht="15" customHeight="1">
      <c r="A148" s="3112"/>
      <c r="B148" s="3113"/>
      <c r="C148" s="3114"/>
      <c r="D148" s="3134"/>
      <c r="E148" s="2489" t="s">
        <v>600</v>
      </c>
      <c r="F148" s="2490">
        <f>SUM(G148:J148)</f>
        <v>11250</v>
      </c>
      <c r="G148" s="2490">
        <v>11250</v>
      </c>
      <c r="H148" s="2490"/>
      <c r="I148" s="2490"/>
      <c r="J148" s="2491"/>
      <c r="K148" s="2482"/>
    </row>
    <row r="149" spans="1:226" s="2485" customFormat="1" ht="22.5">
      <c r="A149" s="3112"/>
      <c r="B149" s="3113"/>
      <c r="C149" s="3114"/>
      <c r="D149" s="3134"/>
      <c r="E149" s="2497" t="s">
        <v>1094</v>
      </c>
      <c r="F149" s="2498">
        <f>SUM(F150:F153)</f>
        <v>225000</v>
      </c>
      <c r="G149" s="2498">
        <f>SUM(G150:G153)</f>
        <v>33750</v>
      </c>
      <c r="H149" s="2498">
        <f>SUM(H150:H153)</f>
        <v>0</v>
      </c>
      <c r="I149" s="2498">
        <f>SUM(I150:I153)</f>
        <v>191250</v>
      </c>
      <c r="J149" s="2499">
        <f>SUM(J150:J153)</f>
        <v>0</v>
      </c>
      <c r="K149" s="2482"/>
      <c r="L149" s="2484"/>
      <c r="M149" s="2484"/>
      <c r="N149" s="2484"/>
      <c r="O149" s="2484"/>
      <c r="P149" s="2484"/>
      <c r="Q149" s="2484"/>
      <c r="R149" s="2484"/>
      <c r="S149" s="2484"/>
      <c r="T149" s="2484"/>
      <c r="U149" s="2484"/>
      <c r="V149" s="2484"/>
      <c r="W149" s="2484"/>
      <c r="X149" s="2484"/>
      <c r="Y149" s="2484"/>
      <c r="Z149" s="2484"/>
      <c r="AA149" s="2484"/>
      <c r="AB149" s="2484"/>
      <c r="AC149" s="2484"/>
      <c r="AD149" s="2484"/>
      <c r="AE149" s="2484"/>
      <c r="AF149" s="2484"/>
      <c r="AG149" s="2484"/>
      <c r="AH149" s="2484"/>
      <c r="AI149" s="2484"/>
      <c r="AJ149" s="2484"/>
      <c r="AK149" s="2484"/>
      <c r="AL149" s="2484"/>
      <c r="AM149" s="2484"/>
      <c r="AN149" s="2484"/>
      <c r="AO149" s="2484"/>
      <c r="AP149" s="2484"/>
      <c r="AQ149" s="2484"/>
      <c r="AR149" s="2484"/>
      <c r="AS149" s="2484"/>
      <c r="AT149" s="2484"/>
      <c r="AU149" s="2484"/>
      <c r="AV149" s="2484"/>
      <c r="AW149" s="2484"/>
      <c r="AX149" s="2484"/>
      <c r="AY149" s="2484"/>
      <c r="AZ149" s="2484"/>
      <c r="BA149" s="2484"/>
      <c r="BB149" s="2484"/>
      <c r="BC149" s="2484"/>
      <c r="BD149" s="2484"/>
      <c r="BE149" s="2484"/>
      <c r="BF149" s="2484"/>
      <c r="BG149" s="2484"/>
      <c r="BH149" s="2484"/>
      <c r="BI149" s="2484"/>
      <c r="BJ149" s="2484"/>
      <c r="BK149" s="2484"/>
      <c r="BL149" s="2484"/>
      <c r="BM149" s="2484"/>
      <c r="BN149" s="2484"/>
      <c r="BO149" s="2484"/>
      <c r="BP149" s="2484"/>
      <c r="BQ149" s="2484"/>
      <c r="BR149" s="2484"/>
      <c r="BS149" s="2484"/>
      <c r="BT149" s="2484"/>
      <c r="BU149" s="2484"/>
      <c r="BV149" s="2484"/>
      <c r="BW149" s="2484"/>
      <c r="BX149" s="2484"/>
      <c r="BY149" s="2484"/>
      <c r="BZ149" s="2484"/>
      <c r="CA149" s="2484"/>
      <c r="CB149" s="2484"/>
      <c r="CC149" s="2484"/>
      <c r="CD149" s="2484"/>
      <c r="CE149" s="2484"/>
      <c r="CF149" s="2484"/>
      <c r="CG149" s="2484"/>
      <c r="CH149" s="2484"/>
      <c r="CI149" s="2484"/>
      <c r="CJ149" s="2484"/>
      <c r="CK149" s="2484"/>
      <c r="CL149" s="2484"/>
      <c r="CM149" s="2484"/>
      <c r="CN149" s="2484"/>
      <c r="CO149" s="2484"/>
      <c r="CP149" s="2484"/>
      <c r="CQ149" s="2484"/>
      <c r="CR149" s="2484"/>
      <c r="CS149" s="2484"/>
      <c r="CT149" s="2484"/>
      <c r="CU149" s="2484"/>
      <c r="CV149" s="2484"/>
      <c r="CW149" s="2484"/>
      <c r="CX149" s="2484"/>
      <c r="CY149" s="2484"/>
      <c r="CZ149" s="2484"/>
      <c r="DA149" s="2484"/>
      <c r="DB149" s="2484"/>
      <c r="DC149" s="2484"/>
      <c r="DD149" s="2484"/>
      <c r="DE149" s="2484"/>
      <c r="DF149" s="2484"/>
      <c r="DG149" s="2484"/>
      <c r="DH149" s="2484"/>
      <c r="DI149" s="2484"/>
      <c r="DJ149" s="2484"/>
      <c r="DK149" s="2484"/>
      <c r="DL149" s="2484"/>
      <c r="DM149" s="2484"/>
      <c r="DN149" s="2484"/>
      <c r="DO149" s="2484"/>
      <c r="DP149" s="2484"/>
      <c r="DQ149" s="2484"/>
      <c r="DR149" s="2484"/>
      <c r="DS149" s="2484"/>
      <c r="DT149" s="2484"/>
      <c r="DU149" s="2484"/>
      <c r="DV149" s="2484"/>
      <c r="DW149" s="2484"/>
      <c r="DX149" s="2484"/>
      <c r="DY149" s="2484"/>
      <c r="DZ149" s="2484"/>
      <c r="EA149" s="2484"/>
      <c r="EB149" s="2484"/>
      <c r="EC149" s="2484"/>
      <c r="ED149" s="2484"/>
      <c r="EE149" s="2484"/>
      <c r="EF149" s="2484"/>
      <c r="EG149" s="2484"/>
      <c r="EH149" s="2484"/>
      <c r="EI149" s="2484"/>
      <c r="EJ149" s="2484"/>
      <c r="EK149" s="2484"/>
      <c r="EL149" s="2484"/>
      <c r="EM149" s="2484"/>
      <c r="EN149" s="2484"/>
      <c r="EO149" s="2484"/>
      <c r="EP149" s="2484"/>
      <c r="EQ149" s="2484"/>
      <c r="ER149" s="2484"/>
      <c r="ES149" s="2484"/>
      <c r="ET149" s="2484"/>
      <c r="EU149" s="2484"/>
      <c r="EV149" s="2484"/>
      <c r="EW149" s="2484"/>
      <c r="EX149" s="2484"/>
      <c r="EY149" s="2484"/>
      <c r="EZ149" s="2484"/>
      <c r="FA149" s="2484"/>
      <c r="FB149" s="2484"/>
      <c r="FC149" s="2484"/>
      <c r="FD149" s="2484"/>
      <c r="FE149" s="2484"/>
      <c r="FF149" s="2484"/>
      <c r="FG149" s="2484"/>
      <c r="FH149" s="2484"/>
      <c r="FI149" s="2484"/>
      <c r="FJ149" s="2484"/>
      <c r="FK149" s="2484"/>
      <c r="FL149" s="2484"/>
      <c r="FM149" s="2484"/>
      <c r="FN149" s="2484"/>
      <c r="FO149" s="2484"/>
      <c r="FP149" s="2484"/>
      <c r="FQ149" s="2484"/>
      <c r="FR149" s="2484"/>
      <c r="FS149" s="2484"/>
      <c r="FT149" s="2484"/>
      <c r="FU149" s="2484"/>
      <c r="FV149" s="2484"/>
      <c r="FW149" s="2484"/>
      <c r="FX149" s="2484"/>
      <c r="FY149" s="2484"/>
      <c r="FZ149" s="2484"/>
      <c r="GA149" s="2484"/>
      <c r="GB149" s="2484"/>
      <c r="GC149" s="2484"/>
      <c r="GD149" s="2484"/>
      <c r="GE149" s="2484"/>
      <c r="GF149" s="2484"/>
      <c r="GG149" s="2484"/>
      <c r="GH149" s="2484"/>
      <c r="GI149" s="2484"/>
      <c r="GJ149" s="2484"/>
      <c r="GK149" s="2484"/>
      <c r="GL149" s="2484"/>
      <c r="GM149" s="2484"/>
      <c r="GN149" s="2484"/>
      <c r="GO149" s="2484"/>
      <c r="GP149" s="2484"/>
      <c r="GQ149" s="2484"/>
      <c r="GR149" s="2484"/>
      <c r="GS149" s="2484"/>
      <c r="GT149" s="2484"/>
      <c r="GU149" s="2484"/>
      <c r="GV149" s="2484"/>
      <c r="GW149" s="2484"/>
      <c r="GX149" s="2484"/>
      <c r="GY149" s="2484"/>
      <c r="GZ149" s="2484"/>
      <c r="HA149" s="2484"/>
      <c r="HB149" s="2484"/>
      <c r="HC149" s="2484"/>
      <c r="HD149" s="2484"/>
      <c r="HE149" s="2484"/>
      <c r="HF149" s="2484"/>
      <c r="HG149" s="2484"/>
      <c r="HH149" s="2484"/>
      <c r="HI149" s="2484"/>
      <c r="HJ149" s="2484"/>
      <c r="HK149" s="2484"/>
      <c r="HL149" s="2484"/>
      <c r="HM149" s="2484"/>
      <c r="HN149" s="2484"/>
      <c r="HO149" s="2484"/>
      <c r="HP149" s="2484"/>
      <c r="HQ149" s="2484"/>
      <c r="HR149" s="2484"/>
    </row>
    <row r="150" spans="1:226" s="2485" customFormat="1" ht="15" customHeight="1">
      <c r="A150" s="3112"/>
      <c r="B150" s="3113"/>
      <c r="C150" s="3114"/>
      <c r="D150" s="3134"/>
      <c r="E150" s="2489" t="s">
        <v>608</v>
      </c>
      <c r="F150" s="2490">
        <f>SUM(G150:J150)</f>
        <v>17000</v>
      </c>
      <c r="G150" s="2490"/>
      <c r="H150" s="2490"/>
      <c r="I150" s="2490">
        <v>17000</v>
      </c>
      <c r="J150" s="2491"/>
      <c r="K150" s="2482"/>
    </row>
    <row r="151" spans="1:226" s="2485" customFormat="1" ht="15" customHeight="1">
      <c r="A151" s="3112"/>
      <c r="B151" s="3113"/>
      <c r="C151" s="3114"/>
      <c r="D151" s="3134"/>
      <c r="E151" s="2489" t="s">
        <v>609</v>
      </c>
      <c r="F151" s="2490">
        <f>SUM(G151:J151)</f>
        <v>3000</v>
      </c>
      <c r="G151" s="2490">
        <v>3000</v>
      </c>
      <c r="H151" s="2490"/>
      <c r="I151" s="2490"/>
      <c r="J151" s="2491"/>
      <c r="K151" s="2482"/>
    </row>
    <row r="152" spans="1:226" s="2485" customFormat="1" ht="15" customHeight="1">
      <c r="A152" s="3112"/>
      <c r="B152" s="3113"/>
      <c r="C152" s="3114"/>
      <c r="D152" s="3134"/>
      <c r="E152" s="2489" t="s">
        <v>610</v>
      </c>
      <c r="F152" s="2490">
        <f>SUM(G152:J152)</f>
        <v>174250</v>
      </c>
      <c r="G152" s="2490"/>
      <c r="H152" s="2490"/>
      <c r="I152" s="2490">
        <v>174250</v>
      </c>
      <c r="J152" s="2491"/>
      <c r="K152" s="2482"/>
    </row>
    <row r="153" spans="1:226" s="2485" customFormat="1" ht="15" customHeight="1">
      <c r="A153" s="3112"/>
      <c r="B153" s="3113"/>
      <c r="C153" s="3114"/>
      <c r="D153" s="3134"/>
      <c r="E153" s="2489" t="s">
        <v>611</v>
      </c>
      <c r="F153" s="2490">
        <f>SUM(G153:J153)</f>
        <v>30750</v>
      </c>
      <c r="G153" s="2490">
        <v>30750</v>
      </c>
      <c r="H153" s="2490"/>
      <c r="I153" s="2490"/>
      <c r="J153" s="2491"/>
      <c r="K153" s="2482"/>
    </row>
    <row r="154" spans="1:226" s="2485" customFormat="1" ht="15" customHeight="1">
      <c r="A154" s="3112"/>
      <c r="B154" s="3113"/>
      <c r="C154" s="3114"/>
      <c r="D154" s="3134"/>
      <c r="E154" s="2492" t="s">
        <v>1087</v>
      </c>
      <c r="F154" s="2487">
        <f>SUM(F155:F156)</f>
        <v>0</v>
      </c>
      <c r="G154" s="2487">
        <f>SUM(G155:G156)</f>
        <v>0</v>
      </c>
      <c r="H154" s="2487">
        <f>SUM(H155:H156)</f>
        <v>0</v>
      </c>
      <c r="I154" s="2487">
        <f>SUM(I155:I156)</f>
        <v>0</v>
      </c>
      <c r="J154" s="2488">
        <f>SUM(J155:J156)</f>
        <v>0</v>
      </c>
      <c r="K154" s="2482"/>
    </row>
    <row r="155" spans="1:226" s="2485" customFormat="1" ht="15" hidden="1" customHeight="1">
      <c r="A155" s="3112"/>
      <c r="B155" s="3113"/>
      <c r="C155" s="3114"/>
      <c r="D155" s="3134"/>
      <c r="E155" s="2489"/>
      <c r="F155" s="2490">
        <f>SUM(G155:J155)</f>
        <v>0</v>
      </c>
      <c r="G155" s="2490"/>
      <c r="H155" s="2490"/>
      <c r="I155" s="2490"/>
      <c r="J155" s="2491"/>
      <c r="K155" s="2482"/>
    </row>
    <row r="156" spans="1:226" s="2485" customFormat="1" ht="15" hidden="1" customHeight="1">
      <c r="A156" s="3112"/>
      <c r="B156" s="3113"/>
      <c r="C156" s="3114"/>
      <c r="D156" s="3134"/>
      <c r="E156" s="2503"/>
      <c r="F156" s="2490">
        <f>SUM(G156:J156)</f>
        <v>0</v>
      </c>
      <c r="G156" s="2490"/>
      <c r="H156" s="2490"/>
      <c r="I156" s="2490"/>
      <c r="J156" s="2491"/>
      <c r="K156" s="2482"/>
    </row>
    <row r="157" spans="1:226" s="2485" customFormat="1" ht="22.5" customHeight="1">
      <c r="A157" s="3139" t="s">
        <v>1107</v>
      </c>
      <c r="B157" s="3148" t="s">
        <v>1108</v>
      </c>
      <c r="C157" s="3115">
        <v>150</v>
      </c>
      <c r="D157" s="3117" t="s">
        <v>268</v>
      </c>
      <c r="E157" s="2479" t="s">
        <v>1086</v>
      </c>
      <c r="F157" s="2480">
        <f>SUM(F158,F172)</f>
        <v>8660000</v>
      </c>
      <c r="G157" s="2480">
        <f>SUM(G158,G172)</f>
        <v>0</v>
      </c>
      <c r="H157" s="2480">
        <f>SUM(H158,H172)</f>
        <v>8660000</v>
      </c>
      <c r="I157" s="2480">
        <f>SUM(I158,I172)</f>
        <v>0</v>
      </c>
      <c r="J157" s="2481">
        <f>SUM(J158,J172)</f>
        <v>0</v>
      </c>
      <c r="K157" s="2482"/>
    </row>
    <row r="158" spans="1:226" s="2485" customFormat="1" ht="21">
      <c r="A158" s="3140"/>
      <c r="B158" s="3149"/>
      <c r="C158" s="3145"/>
      <c r="D158" s="3146"/>
      <c r="E158" s="2486" t="s">
        <v>1092</v>
      </c>
      <c r="F158" s="2487">
        <f>SUM(F159,F161,F163,F168)</f>
        <v>8660000</v>
      </c>
      <c r="G158" s="2487">
        <f t="shared" ref="G158:J158" si="13">SUM(G159,G161,G163,G168)</f>
        <v>0</v>
      </c>
      <c r="H158" s="2487">
        <f t="shared" si="13"/>
        <v>8660000</v>
      </c>
      <c r="I158" s="2487">
        <f t="shared" si="13"/>
        <v>0</v>
      </c>
      <c r="J158" s="2488">
        <f t="shared" si="13"/>
        <v>0</v>
      </c>
      <c r="K158" s="2482"/>
    </row>
    <row r="159" spans="1:226" s="2485" customFormat="1" ht="15" customHeight="1">
      <c r="A159" s="3140"/>
      <c r="B159" s="3149"/>
      <c r="C159" s="3145"/>
      <c r="D159" s="3146"/>
      <c r="E159" s="2497" t="s">
        <v>1109</v>
      </c>
      <c r="F159" s="2498">
        <f>SUM(F160:F160)</f>
        <v>722400</v>
      </c>
      <c r="G159" s="2498">
        <f>SUM(G160:G160)</f>
        <v>0</v>
      </c>
      <c r="H159" s="2498">
        <f>SUM(H160:H160)</f>
        <v>722400</v>
      </c>
      <c r="I159" s="2498">
        <f>SUM(I160:I160)</f>
        <v>0</v>
      </c>
      <c r="J159" s="2499">
        <f>SUM(J160:J160)</f>
        <v>0</v>
      </c>
      <c r="K159" s="2482"/>
    </row>
    <row r="160" spans="1:226" s="2485" customFormat="1" ht="15" customHeight="1">
      <c r="A160" s="3140"/>
      <c r="B160" s="3149"/>
      <c r="C160" s="3145"/>
      <c r="D160" s="3146"/>
      <c r="E160" s="2489" t="s">
        <v>470</v>
      </c>
      <c r="F160" s="2490">
        <f>SUM(G160:J160)</f>
        <v>722400</v>
      </c>
      <c r="G160" s="2490"/>
      <c r="H160" s="2490">
        <v>722400</v>
      </c>
      <c r="I160" s="2490"/>
      <c r="J160" s="2491"/>
      <c r="K160" s="2482"/>
    </row>
    <row r="161" spans="1:226" s="2485" customFormat="1" ht="22.5">
      <c r="A161" s="3140"/>
      <c r="B161" s="3149"/>
      <c r="C161" s="3145"/>
      <c r="D161" s="3146"/>
      <c r="E161" s="2497" t="s">
        <v>1110</v>
      </c>
      <c r="F161" s="2498">
        <f>SUM(F162:F162)</f>
        <v>7637000</v>
      </c>
      <c r="G161" s="2498">
        <f>SUM(G162:G162)</f>
        <v>0</v>
      </c>
      <c r="H161" s="2498">
        <f>SUM(H162:H162)</f>
        <v>7637000</v>
      </c>
      <c r="I161" s="2498">
        <f>SUM(I162:I162)</f>
        <v>0</v>
      </c>
      <c r="J161" s="2499">
        <f>SUM(J162:J162)</f>
        <v>0</v>
      </c>
      <c r="K161" s="2482"/>
    </row>
    <row r="162" spans="1:226" s="2485" customFormat="1" ht="15" customHeight="1">
      <c r="A162" s="3140"/>
      <c r="B162" s="3149"/>
      <c r="C162" s="3145"/>
      <c r="D162" s="3146"/>
      <c r="E162" s="2489" t="s">
        <v>470</v>
      </c>
      <c r="F162" s="2490">
        <f>SUM(G162:J162)</f>
        <v>7637000</v>
      </c>
      <c r="G162" s="2490"/>
      <c r="H162" s="2490">
        <v>7637000</v>
      </c>
      <c r="I162" s="2490"/>
      <c r="J162" s="2491"/>
      <c r="K162" s="2482"/>
    </row>
    <row r="163" spans="1:226" s="2485" customFormat="1" ht="22.5">
      <c r="A163" s="3140"/>
      <c r="B163" s="3149"/>
      <c r="C163" s="3145"/>
      <c r="D163" s="3146"/>
      <c r="E163" s="2497" t="s">
        <v>1093</v>
      </c>
      <c r="F163" s="2498">
        <f>SUM(F164:F167)</f>
        <v>130000</v>
      </c>
      <c r="G163" s="2498">
        <f>SUM(G164:G167)</f>
        <v>0</v>
      </c>
      <c r="H163" s="2498">
        <f>SUM(H164:H167)</f>
        <v>130000</v>
      </c>
      <c r="I163" s="2498">
        <f>SUM(I164:I167)</f>
        <v>0</v>
      </c>
      <c r="J163" s="2499">
        <f>SUM(J164:J167)</f>
        <v>0</v>
      </c>
      <c r="K163" s="2482"/>
    </row>
    <row r="164" spans="1:226" s="2485" customFormat="1" ht="15" customHeight="1">
      <c r="A164" s="3140"/>
      <c r="B164" s="3149"/>
      <c r="C164" s="3145"/>
      <c r="D164" s="3146"/>
      <c r="E164" s="2489" t="s">
        <v>647</v>
      </c>
      <c r="F164" s="2490">
        <f>SUM(G164:J164)</f>
        <v>100487</v>
      </c>
      <c r="G164" s="2490"/>
      <c r="H164" s="2490">
        <v>100487</v>
      </c>
      <c r="I164" s="2490"/>
      <c r="J164" s="2491"/>
      <c r="K164" s="2482"/>
    </row>
    <row r="165" spans="1:226" s="2485" customFormat="1" ht="15" customHeight="1">
      <c r="A165" s="3140"/>
      <c r="B165" s="3149"/>
      <c r="C165" s="3145"/>
      <c r="D165" s="3146"/>
      <c r="E165" s="2489" t="s">
        <v>648</v>
      </c>
      <c r="F165" s="2490">
        <f>SUM(G165:J165)</f>
        <v>8000</v>
      </c>
      <c r="G165" s="2490"/>
      <c r="H165" s="2490">
        <v>8000</v>
      </c>
      <c r="I165" s="2490"/>
      <c r="J165" s="2491"/>
      <c r="K165" s="2482"/>
    </row>
    <row r="166" spans="1:226" s="2485" customFormat="1" ht="15" customHeight="1">
      <c r="A166" s="3140"/>
      <c r="B166" s="3149"/>
      <c r="C166" s="3145"/>
      <c r="D166" s="3146"/>
      <c r="E166" s="2489" t="s">
        <v>649</v>
      </c>
      <c r="F166" s="2490">
        <f t="shared" ref="F166:F167" si="14">SUM(G166:J166)</f>
        <v>18855</v>
      </c>
      <c r="G166" s="2490"/>
      <c r="H166" s="2490">
        <v>18855</v>
      </c>
      <c r="I166" s="2490"/>
      <c r="J166" s="2491"/>
      <c r="K166" s="2482"/>
    </row>
    <row r="167" spans="1:226" s="2485" customFormat="1" ht="15" customHeight="1">
      <c r="A167" s="3140"/>
      <c r="B167" s="3149"/>
      <c r="C167" s="3145"/>
      <c r="D167" s="3146"/>
      <c r="E167" s="2489" t="s">
        <v>650</v>
      </c>
      <c r="F167" s="2490">
        <f t="shared" si="14"/>
        <v>2658</v>
      </c>
      <c r="G167" s="2490"/>
      <c r="H167" s="2490">
        <v>2658</v>
      </c>
      <c r="I167" s="2490"/>
      <c r="J167" s="2491"/>
      <c r="K167" s="2482"/>
    </row>
    <row r="168" spans="1:226" s="2485" customFormat="1" ht="22.5">
      <c r="A168" s="3140"/>
      <c r="B168" s="3149"/>
      <c r="C168" s="3145"/>
      <c r="D168" s="3146"/>
      <c r="E168" s="2497" t="s">
        <v>1094</v>
      </c>
      <c r="F168" s="2498">
        <f>SUM(F169:F171)</f>
        <v>170600</v>
      </c>
      <c r="G168" s="2498">
        <f>SUM(G169:G171)</f>
        <v>0</v>
      </c>
      <c r="H168" s="2498">
        <f>SUM(H169:H171)</f>
        <v>170600</v>
      </c>
      <c r="I168" s="2498">
        <f>SUM(I169:I171)</f>
        <v>0</v>
      </c>
      <c r="J168" s="2499">
        <f>SUM(J169:J171)</f>
        <v>0</v>
      </c>
      <c r="K168" s="2482"/>
      <c r="L168" s="2484"/>
      <c r="M168" s="2484"/>
      <c r="N168" s="2484"/>
      <c r="O168" s="2484"/>
      <c r="P168" s="2484"/>
      <c r="Q168" s="2484"/>
      <c r="R168" s="2484"/>
      <c r="S168" s="2484"/>
      <c r="T168" s="2484"/>
      <c r="U168" s="2484"/>
      <c r="V168" s="2484"/>
      <c r="W168" s="2484"/>
      <c r="X168" s="2484"/>
      <c r="Y168" s="2484"/>
      <c r="Z168" s="2484"/>
      <c r="AA168" s="2484"/>
      <c r="AB168" s="2484"/>
      <c r="AC168" s="2484"/>
      <c r="AD168" s="2484"/>
      <c r="AE168" s="2484"/>
      <c r="AF168" s="2484"/>
      <c r="AG168" s="2484"/>
      <c r="AH168" s="2484"/>
      <c r="AI168" s="2484"/>
      <c r="AJ168" s="2484"/>
      <c r="AK168" s="2484"/>
      <c r="AL168" s="2484"/>
      <c r="AM168" s="2484"/>
      <c r="AN168" s="2484"/>
      <c r="AO168" s="2484"/>
      <c r="AP168" s="2484"/>
      <c r="AQ168" s="2484"/>
      <c r="AR168" s="2484"/>
      <c r="AS168" s="2484"/>
      <c r="AT168" s="2484"/>
      <c r="AU168" s="2484"/>
      <c r="AV168" s="2484"/>
      <c r="AW168" s="2484"/>
      <c r="AX168" s="2484"/>
      <c r="AY168" s="2484"/>
      <c r="AZ168" s="2484"/>
      <c r="BA168" s="2484"/>
      <c r="BB168" s="2484"/>
      <c r="BC168" s="2484"/>
      <c r="BD168" s="2484"/>
      <c r="BE168" s="2484"/>
      <c r="BF168" s="2484"/>
      <c r="BG168" s="2484"/>
      <c r="BH168" s="2484"/>
      <c r="BI168" s="2484"/>
      <c r="BJ168" s="2484"/>
      <c r="BK168" s="2484"/>
      <c r="BL168" s="2484"/>
      <c r="BM168" s="2484"/>
      <c r="BN168" s="2484"/>
      <c r="BO168" s="2484"/>
      <c r="BP168" s="2484"/>
      <c r="BQ168" s="2484"/>
      <c r="BR168" s="2484"/>
      <c r="BS168" s="2484"/>
      <c r="BT168" s="2484"/>
      <c r="BU168" s="2484"/>
      <c r="BV168" s="2484"/>
      <c r="BW168" s="2484"/>
      <c r="BX168" s="2484"/>
      <c r="BY168" s="2484"/>
      <c r="BZ168" s="2484"/>
      <c r="CA168" s="2484"/>
      <c r="CB168" s="2484"/>
      <c r="CC168" s="2484"/>
      <c r="CD168" s="2484"/>
      <c r="CE168" s="2484"/>
      <c r="CF168" s="2484"/>
      <c r="CG168" s="2484"/>
      <c r="CH168" s="2484"/>
      <c r="CI168" s="2484"/>
      <c r="CJ168" s="2484"/>
      <c r="CK168" s="2484"/>
      <c r="CL168" s="2484"/>
      <c r="CM168" s="2484"/>
      <c r="CN168" s="2484"/>
      <c r="CO168" s="2484"/>
      <c r="CP168" s="2484"/>
      <c r="CQ168" s="2484"/>
      <c r="CR168" s="2484"/>
      <c r="CS168" s="2484"/>
      <c r="CT168" s="2484"/>
      <c r="CU168" s="2484"/>
      <c r="CV168" s="2484"/>
      <c r="CW168" s="2484"/>
      <c r="CX168" s="2484"/>
      <c r="CY168" s="2484"/>
      <c r="CZ168" s="2484"/>
      <c r="DA168" s="2484"/>
      <c r="DB168" s="2484"/>
      <c r="DC168" s="2484"/>
      <c r="DD168" s="2484"/>
      <c r="DE168" s="2484"/>
      <c r="DF168" s="2484"/>
      <c r="DG168" s="2484"/>
      <c r="DH168" s="2484"/>
      <c r="DI168" s="2484"/>
      <c r="DJ168" s="2484"/>
      <c r="DK168" s="2484"/>
      <c r="DL168" s="2484"/>
      <c r="DM168" s="2484"/>
      <c r="DN168" s="2484"/>
      <c r="DO168" s="2484"/>
      <c r="DP168" s="2484"/>
      <c r="DQ168" s="2484"/>
      <c r="DR168" s="2484"/>
      <c r="DS168" s="2484"/>
      <c r="DT168" s="2484"/>
      <c r="DU168" s="2484"/>
      <c r="DV168" s="2484"/>
      <c r="DW168" s="2484"/>
      <c r="DX168" s="2484"/>
      <c r="DY168" s="2484"/>
      <c r="DZ168" s="2484"/>
      <c r="EA168" s="2484"/>
      <c r="EB168" s="2484"/>
      <c r="EC168" s="2484"/>
      <c r="ED168" s="2484"/>
      <c r="EE168" s="2484"/>
      <c r="EF168" s="2484"/>
      <c r="EG168" s="2484"/>
      <c r="EH168" s="2484"/>
      <c r="EI168" s="2484"/>
      <c r="EJ168" s="2484"/>
      <c r="EK168" s="2484"/>
      <c r="EL168" s="2484"/>
      <c r="EM168" s="2484"/>
      <c r="EN168" s="2484"/>
      <c r="EO168" s="2484"/>
      <c r="EP168" s="2484"/>
      <c r="EQ168" s="2484"/>
      <c r="ER168" s="2484"/>
      <c r="ES168" s="2484"/>
      <c r="ET168" s="2484"/>
      <c r="EU168" s="2484"/>
      <c r="EV168" s="2484"/>
      <c r="EW168" s="2484"/>
      <c r="EX168" s="2484"/>
      <c r="EY168" s="2484"/>
      <c r="EZ168" s="2484"/>
      <c r="FA168" s="2484"/>
      <c r="FB168" s="2484"/>
      <c r="FC168" s="2484"/>
      <c r="FD168" s="2484"/>
      <c r="FE168" s="2484"/>
      <c r="FF168" s="2484"/>
      <c r="FG168" s="2484"/>
      <c r="FH168" s="2484"/>
      <c r="FI168" s="2484"/>
      <c r="FJ168" s="2484"/>
      <c r="FK168" s="2484"/>
      <c r="FL168" s="2484"/>
      <c r="FM168" s="2484"/>
      <c r="FN168" s="2484"/>
      <c r="FO168" s="2484"/>
      <c r="FP168" s="2484"/>
      <c r="FQ168" s="2484"/>
      <c r="FR168" s="2484"/>
      <c r="FS168" s="2484"/>
      <c r="FT168" s="2484"/>
      <c r="FU168" s="2484"/>
      <c r="FV168" s="2484"/>
      <c r="FW168" s="2484"/>
      <c r="FX168" s="2484"/>
      <c r="FY168" s="2484"/>
      <c r="FZ168" s="2484"/>
      <c r="GA168" s="2484"/>
      <c r="GB168" s="2484"/>
      <c r="GC168" s="2484"/>
      <c r="GD168" s="2484"/>
      <c r="GE168" s="2484"/>
      <c r="GF168" s="2484"/>
      <c r="GG168" s="2484"/>
      <c r="GH168" s="2484"/>
      <c r="GI168" s="2484"/>
      <c r="GJ168" s="2484"/>
      <c r="GK168" s="2484"/>
      <c r="GL168" s="2484"/>
      <c r="GM168" s="2484"/>
      <c r="GN168" s="2484"/>
      <c r="GO168" s="2484"/>
      <c r="GP168" s="2484"/>
      <c r="GQ168" s="2484"/>
      <c r="GR168" s="2484"/>
      <c r="GS168" s="2484"/>
      <c r="GT168" s="2484"/>
      <c r="GU168" s="2484"/>
      <c r="GV168" s="2484"/>
      <c r="GW168" s="2484"/>
      <c r="GX168" s="2484"/>
      <c r="GY168" s="2484"/>
      <c r="GZ168" s="2484"/>
      <c r="HA168" s="2484"/>
      <c r="HB168" s="2484"/>
      <c r="HC168" s="2484"/>
      <c r="HD168" s="2484"/>
      <c r="HE168" s="2484"/>
      <c r="HF168" s="2484"/>
      <c r="HG168" s="2484"/>
      <c r="HH168" s="2484"/>
      <c r="HI168" s="2484"/>
      <c r="HJ168" s="2484"/>
      <c r="HK168" s="2484"/>
      <c r="HL168" s="2484"/>
      <c r="HM168" s="2484"/>
      <c r="HN168" s="2484"/>
      <c r="HO168" s="2484"/>
      <c r="HP168" s="2484"/>
      <c r="HQ168" s="2484"/>
      <c r="HR168" s="2484"/>
    </row>
    <row r="169" spans="1:226" s="2485" customFormat="1" ht="15" customHeight="1">
      <c r="A169" s="3140"/>
      <c r="B169" s="3149"/>
      <c r="C169" s="3145"/>
      <c r="D169" s="3146"/>
      <c r="E169" s="2489" t="s">
        <v>651</v>
      </c>
      <c r="F169" s="2490">
        <f t="shared" ref="F169:F170" si="15">SUM(G169:J169)</f>
        <v>30000</v>
      </c>
      <c r="G169" s="2490"/>
      <c r="H169" s="2490">
        <v>30000</v>
      </c>
      <c r="I169" s="2490"/>
      <c r="J169" s="2491"/>
      <c r="K169" s="2482"/>
    </row>
    <row r="170" spans="1:226" s="2485" customFormat="1" ht="15" customHeight="1">
      <c r="A170" s="3140"/>
      <c r="B170" s="3149"/>
      <c r="C170" s="3145"/>
      <c r="D170" s="3146"/>
      <c r="E170" s="2489" t="s">
        <v>652</v>
      </c>
      <c r="F170" s="2490">
        <f t="shared" si="15"/>
        <v>140600</v>
      </c>
      <c r="G170" s="2490"/>
      <c r="H170" s="2490">
        <v>140600</v>
      </c>
      <c r="I170" s="2490"/>
      <c r="J170" s="2491"/>
      <c r="K170" s="2482"/>
    </row>
    <row r="171" spans="1:226" s="2485" customFormat="1" ht="15" hidden="1" customHeight="1">
      <c r="A171" s="3140"/>
      <c r="B171" s="3149"/>
      <c r="C171" s="3145"/>
      <c r="D171" s="3146"/>
      <c r="E171" s="2489" t="s">
        <v>646</v>
      </c>
      <c r="F171" s="2490">
        <f>SUM(G171:J171)</f>
        <v>0</v>
      </c>
      <c r="G171" s="2490"/>
      <c r="H171" s="2490"/>
      <c r="I171" s="2490"/>
      <c r="J171" s="2491"/>
      <c r="K171" s="2482"/>
    </row>
    <row r="172" spans="1:226" s="2485" customFormat="1" ht="20.25" customHeight="1">
      <c r="A172" s="3141"/>
      <c r="B172" s="3150"/>
      <c r="C172" s="3116"/>
      <c r="D172" s="3118"/>
      <c r="E172" s="2492" t="s">
        <v>1087</v>
      </c>
      <c r="F172" s="2487">
        <f>SUM(F173:F175)</f>
        <v>0</v>
      </c>
      <c r="G172" s="2487">
        <f t="shared" ref="G172:J172" si="16">SUM(G173:G175)</f>
        <v>0</v>
      </c>
      <c r="H172" s="2487">
        <f t="shared" si="16"/>
        <v>0</v>
      </c>
      <c r="I172" s="2487">
        <f t="shared" si="16"/>
        <v>0</v>
      </c>
      <c r="J172" s="2488">
        <f t="shared" si="16"/>
        <v>0</v>
      </c>
      <c r="K172" s="2482"/>
    </row>
    <row r="173" spans="1:226" s="2484" customFormat="1" ht="15" hidden="1" customHeight="1">
      <c r="A173" s="2500"/>
      <c r="B173" s="2501"/>
      <c r="C173" s="2493"/>
      <c r="D173" s="2502"/>
      <c r="E173" s="2489" t="s">
        <v>655</v>
      </c>
      <c r="F173" s="2490">
        <f>SUM(G173:J173)</f>
        <v>0</v>
      </c>
      <c r="G173" s="2490"/>
      <c r="H173" s="2490"/>
      <c r="I173" s="2490"/>
      <c r="J173" s="2491"/>
      <c r="K173" s="2482"/>
    </row>
    <row r="174" spans="1:226" s="2484" customFormat="1" ht="15" hidden="1" customHeight="1">
      <c r="A174" s="2500"/>
      <c r="B174" s="2501"/>
      <c r="C174" s="2493"/>
      <c r="D174" s="2502"/>
      <c r="E174" s="2489" t="s">
        <v>656</v>
      </c>
      <c r="F174" s="2490">
        <f>SUM(G174:J174)</f>
        <v>0</v>
      </c>
      <c r="G174" s="2490"/>
      <c r="H174" s="2490"/>
      <c r="I174" s="2490"/>
      <c r="J174" s="2491"/>
      <c r="K174" s="2482"/>
    </row>
    <row r="175" spans="1:226" s="2485" customFormat="1" ht="15" hidden="1" customHeight="1">
      <c r="A175" s="2500"/>
      <c r="B175" s="2501"/>
      <c r="C175" s="2493"/>
      <c r="D175" s="2502"/>
      <c r="E175" s="2489" t="s">
        <v>663</v>
      </c>
      <c r="F175" s="2490">
        <f>SUM(G175:J175)</f>
        <v>0</v>
      </c>
      <c r="G175" s="2490"/>
      <c r="H175" s="2490"/>
      <c r="I175" s="2490"/>
      <c r="J175" s="2491"/>
      <c r="K175" s="2482"/>
    </row>
    <row r="176" spans="1:226" s="2485" customFormat="1" ht="22.5" hidden="1">
      <c r="A176" s="3151" t="s">
        <v>1111</v>
      </c>
      <c r="B176" s="3152" t="s">
        <v>1112</v>
      </c>
      <c r="C176" s="3153">
        <v>600</v>
      </c>
      <c r="D176" s="3154" t="s">
        <v>60</v>
      </c>
      <c r="E176" s="2512" t="s">
        <v>1086</v>
      </c>
      <c r="F176" s="2513">
        <f>SUM(F177,F186)</f>
        <v>0</v>
      </c>
      <c r="G176" s="2513">
        <f>SUM(G177,G186)</f>
        <v>0</v>
      </c>
      <c r="H176" s="2513">
        <f>SUM(H177,H186)</f>
        <v>0</v>
      </c>
      <c r="I176" s="2513">
        <f>SUM(I177,I186)</f>
        <v>0</v>
      </c>
      <c r="J176" s="2514">
        <f>SUM(J177,J186)</f>
        <v>0</v>
      </c>
      <c r="K176" s="2482"/>
    </row>
    <row r="177" spans="1:226" s="2485" customFormat="1" ht="15" hidden="1" customHeight="1">
      <c r="A177" s="3151"/>
      <c r="B177" s="3152"/>
      <c r="C177" s="3153"/>
      <c r="D177" s="3154"/>
      <c r="E177" s="2515" t="s">
        <v>1092</v>
      </c>
      <c r="F177" s="2516">
        <f>SUM(F178,F182)</f>
        <v>0</v>
      </c>
      <c r="G177" s="2516">
        <f>SUM(G178,G182)</f>
        <v>0</v>
      </c>
      <c r="H177" s="2516">
        <f>SUM(H178,H182)</f>
        <v>0</v>
      </c>
      <c r="I177" s="2516">
        <f>SUM(I178,I182)</f>
        <v>0</v>
      </c>
      <c r="J177" s="2517">
        <f>SUM(J178,J182)</f>
        <v>0</v>
      </c>
      <c r="K177" s="2482"/>
    </row>
    <row r="178" spans="1:226" s="2485" customFormat="1" ht="15" hidden="1" customHeight="1">
      <c r="A178" s="3151"/>
      <c r="B178" s="3152"/>
      <c r="C178" s="3153"/>
      <c r="D178" s="3154"/>
      <c r="E178" s="2518" t="s">
        <v>1093</v>
      </c>
      <c r="F178" s="2519">
        <f>SUM(F179:F181)</f>
        <v>0</v>
      </c>
      <c r="G178" s="2519">
        <f>SUM(G179:G181)</f>
        <v>0</v>
      </c>
      <c r="H178" s="2519">
        <f>SUM(H179:H181)</f>
        <v>0</v>
      </c>
      <c r="I178" s="2519">
        <f>SUM(I179:I181)</f>
        <v>0</v>
      </c>
      <c r="J178" s="2520">
        <f>SUM(J179:J181)</f>
        <v>0</v>
      </c>
      <c r="K178" s="2482"/>
    </row>
    <row r="179" spans="1:226" s="2485" customFormat="1" ht="15" hidden="1" customHeight="1">
      <c r="A179" s="3151"/>
      <c r="B179" s="3152"/>
      <c r="C179" s="3153"/>
      <c r="D179" s="3154"/>
      <c r="E179" s="2508"/>
      <c r="F179" s="2509">
        <f>SUM(G179:J179)</f>
        <v>0</v>
      </c>
      <c r="G179" s="2509"/>
      <c r="H179" s="2509"/>
      <c r="I179" s="2509"/>
      <c r="J179" s="2510"/>
      <c r="K179" s="2482"/>
    </row>
    <row r="180" spans="1:226" s="2485" customFormat="1" ht="15" hidden="1" customHeight="1">
      <c r="A180" s="3151"/>
      <c r="B180" s="3152"/>
      <c r="C180" s="3153"/>
      <c r="D180" s="3154"/>
      <c r="E180" s="2508"/>
      <c r="F180" s="2509">
        <f>SUM(G180:J180)</f>
        <v>0</v>
      </c>
      <c r="G180" s="2509"/>
      <c r="H180" s="2509"/>
      <c r="I180" s="2509"/>
      <c r="J180" s="2510"/>
      <c r="K180" s="2482"/>
    </row>
    <row r="181" spans="1:226" s="2485" customFormat="1" ht="15" hidden="1" customHeight="1">
      <c r="A181" s="3151"/>
      <c r="B181" s="3152"/>
      <c r="C181" s="3153"/>
      <c r="D181" s="3154"/>
      <c r="E181" s="2508"/>
      <c r="F181" s="2509">
        <f>SUM(G181:J181)</f>
        <v>0</v>
      </c>
      <c r="G181" s="2509"/>
      <c r="H181" s="2509"/>
      <c r="I181" s="2509"/>
      <c r="J181" s="2510"/>
      <c r="K181" s="2482"/>
    </row>
    <row r="182" spans="1:226" s="2485" customFormat="1" ht="15" hidden="1" customHeight="1">
      <c r="A182" s="3151"/>
      <c r="B182" s="3152"/>
      <c r="C182" s="3153"/>
      <c r="D182" s="3154"/>
      <c r="E182" s="2518" t="s">
        <v>1094</v>
      </c>
      <c r="F182" s="2519">
        <f>SUM(F183:F185)</f>
        <v>0</v>
      </c>
      <c r="G182" s="2519">
        <f>SUM(G183:G185)</f>
        <v>0</v>
      </c>
      <c r="H182" s="2519">
        <f>SUM(H183:H185)</f>
        <v>0</v>
      </c>
      <c r="I182" s="2519">
        <f>SUM(I183:I185)</f>
        <v>0</v>
      </c>
      <c r="J182" s="2520">
        <f>SUM(J183:J185)</f>
        <v>0</v>
      </c>
      <c r="K182" s="2482"/>
      <c r="L182" s="2484"/>
      <c r="M182" s="2484"/>
      <c r="N182" s="2484"/>
      <c r="O182" s="2484"/>
      <c r="P182" s="2484"/>
      <c r="Q182" s="2484"/>
      <c r="R182" s="2484"/>
      <c r="S182" s="2484"/>
      <c r="T182" s="2484"/>
      <c r="U182" s="2484"/>
      <c r="V182" s="2484"/>
      <c r="W182" s="2484"/>
      <c r="X182" s="2484"/>
      <c r="Y182" s="2484"/>
      <c r="Z182" s="2484"/>
      <c r="AA182" s="2484"/>
      <c r="AB182" s="2484"/>
      <c r="AC182" s="2484"/>
      <c r="AD182" s="2484"/>
      <c r="AE182" s="2484"/>
      <c r="AF182" s="2484"/>
      <c r="AG182" s="2484"/>
      <c r="AH182" s="2484"/>
      <c r="AI182" s="2484"/>
      <c r="AJ182" s="2484"/>
      <c r="AK182" s="2484"/>
      <c r="AL182" s="2484"/>
      <c r="AM182" s="2484"/>
      <c r="AN182" s="2484"/>
      <c r="AO182" s="2484"/>
      <c r="AP182" s="2484"/>
      <c r="AQ182" s="2484"/>
      <c r="AR182" s="2484"/>
      <c r="AS182" s="2484"/>
      <c r="AT182" s="2484"/>
      <c r="AU182" s="2484"/>
      <c r="AV182" s="2484"/>
      <c r="AW182" s="2484"/>
      <c r="AX182" s="2484"/>
      <c r="AY182" s="2484"/>
      <c r="AZ182" s="2484"/>
      <c r="BA182" s="2484"/>
      <c r="BB182" s="2484"/>
      <c r="BC182" s="2484"/>
      <c r="BD182" s="2484"/>
      <c r="BE182" s="2484"/>
      <c r="BF182" s="2484"/>
      <c r="BG182" s="2484"/>
      <c r="BH182" s="2484"/>
      <c r="BI182" s="2484"/>
      <c r="BJ182" s="2484"/>
      <c r="BK182" s="2484"/>
      <c r="BL182" s="2484"/>
      <c r="BM182" s="2484"/>
      <c r="BN182" s="2484"/>
      <c r="BO182" s="2484"/>
      <c r="BP182" s="2484"/>
      <c r="BQ182" s="2484"/>
      <c r="BR182" s="2484"/>
      <c r="BS182" s="2484"/>
      <c r="BT182" s="2484"/>
      <c r="BU182" s="2484"/>
      <c r="BV182" s="2484"/>
      <c r="BW182" s="2484"/>
      <c r="BX182" s="2484"/>
      <c r="BY182" s="2484"/>
      <c r="BZ182" s="2484"/>
      <c r="CA182" s="2484"/>
      <c r="CB182" s="2484"/>
      <c r="CC182" s="2484"/>
      <c r="CD182" s="2484"/>
      <c r="CE182" s="2484"/>
      <c r="CF182" s="2484"/>
      <c r="CG182" s="2484"/>
      <c r="CH182" s="2484"/>
      <c r="CI182" s="2484"/>
      <c r="CJ182" s="2484"/>
      <c r="CK182" s="2484"/>
      <c r="CL182" s="2484"/>
      <c r="CM182" s="2484"/>
      <c r="CN182" s="2484"/>
      <c r="CO182" s="2484"/>
      <c r="CP182" s="2484"/>
      <c r="CQ182" s="2484"/>
      <c r="CR182" s="2484"/>
      <c r="CS182" s="2484"/>
      <c r="CT182" s="2484"/>
      <c r="CU182" s="2484"/>
      <c r="CV182" s="2484"/>
      <c r="CW182" s="2484"/>
      <c r="CX182" s="2484"/>
      <c r="CY182" s="2484"/>
      <c r="CZ182" s="2484"/>
      <c r="DA182" s="2484"/>
      <c r="DB182" s="2484"/>
      <c r="DC182" s="2484"/>
      <c r="DD182" s="2484"/>
      <c r="DE182" s="2484"/>
      <c r="DF182" s="2484"/>
      <c r="DG182" s="2484"/>
      <c r="DH182" s="2484"/>
      <c r="DI182" s="2484"/>
      <c r="DJ182" s="2484"/>
      <c r="DK182" s="2484"/>
      <c r="DL182" s="2484"/>
      <c r="DM182" s="2484"/>
      <c r="DN182" s="2484"/>
      <c r="DO182" s="2484"/>
      <c r="DP182" s="2484"/>
      <c r="DQ182" s="2484"/>
      <c r="DR182" s="2484"/>
      <c r="DS182" s="2484"/>
      <c r="DT182" s="2484"/>
      <c r="DU182" s="2484"/>
      <c r="DV182" s="2484"/>
      <c r="DW182" s="2484"/>
      <c r="DX182" s="2484"/>
      <c r="DY182" s="2484"/>
      <c r="DZ182" s="2484"/>
      <c r="EA182" s="2484"/>
      <c r="EB182" s="2484"/>
      <c r="EC182" s="2484"/>
      <c r="ED182" s="2484"/>
      <c r="EE182" s="2484"/>
      <c r="EF182" s="2484"/>
      <c r="EG182" s="2484"/>
      <c r="EH182" s="2484"/>
      <c r="EI182" s="2484"/>
      <c r="EJ182" s="2484"/>
      <c r="EK182" s="2484"/>
      <c r="EL182" s="2484"/>
      <c r="EM182" s="2484"/>
      <c r="EN182" s="2484"/>
      <c r="EO182" s="2484"/>
      <c r="EP182" s="2484"/>
      <c r="EQ182" s="2484"/>
      <c r="ER182" s="2484"/>
      <c r="ES182" s="2484"/>
      <c r="ET182" s="2484"/>
      <c r="EU182" s="2484"/>
      <c r="EV182" s="2484"/>
      <c r="EW182" s="2484"/>
      <c r="EX182" s="2484"/>
      <c r="EY182" s="2484"/>
      <c r="EZ182" s="2484"/>
      <c r="FA182" s="2484"/>
      <c r="FB182" s="2484"/>
      <c r="FC182" s="2484"/>
      <c r="FD182" s="2484"/>
      <c r="FE182" s="2484"/>
      <c r="FF182" s="2484"/>
      <c r="FG182" s="2484"/>
      <c r="FH182" s="2484"/>
      <c r="FI182" s="2484"/>
      <c r="FJ182" s="2484"/>
      <c r="FK182" s="2484"/>
      <c r="FL182" s="2484"/>
      <c r="FM182" s="2484"/>
      <c r="FN182" s="2484"/>
      <c r="FO182" s="2484"/>
      <c r="FP182" s="2484"/>
      <c r="FQ182" s="2484"/>
      <c r="FR182" s="2484"/>
      <c r="FS182" s="2484"/>
      <c r="FT182" s="2484"/>
      <c r="FU182" s="2484"/>
      <c r="FV182" s="2484"/>
      <c r="FW182" s="2484"/>
      <c r="FX182" s="2484"/>
      <c r="FY182" s="2484"/>
      <c r="FZ182" s="2484"/>
      <c r="GA182" s="2484"/>
      <c r="GB182" s="2484"/>
      <c r="GC182" s="2484"/>
      <c r="GD182" s="2484"/>
      <c r="GE182" s="2484"/>
      <c r="GF182" s="2484"/>
      <c r="GG182" s="2484"/>
      <c r="GH182" s="2484"/>
      <c r="GI182" s="2484"/>
      <c r="GJ182" s="2484"/>
      <c r="GK182" s="2484"/>
      <c r="GL182" s="2484"/>
      <c r="GM182" s="2484"/>
      <c r="GN182" s="2484"/>
      <c r="GO182" s="2484"/>
      <c r="GP182" s="2484"/>
      <c r="GQ182" s="2484"/>
      <c r="GR182" s="2484"/>
      <c r="GS182" s="2484"/>
      <c r="GT182" s="2484"/>
      <c r="GU182" s="2484"/>
      <c r="GV182" s="2484"/>
      <c r="GW182" s="2484"/>
      <c r="GX182" s="2484"/>
      <c r="GY182" s="2484"/>
      <c r="GZ182" s="2484"/>
      <c r="HA182" s="2484"/>
      <c r="HB182" s="2484"/>
      <c r="HC182" s="2484"/>
      <c r="HD182" s="2484"/>
      <c r="HE182" s="2484"/>
      <c r="HF182" s="2484"/>
      <c r="HG182" s="2484"/>
      <c r="HH182" s="2484"/>
      <c r="HI182" s="2484"/>
      <c r="HJ182" s="2484"/>
      <c r="HK182" s="2484"/>
      <c r="HL182" s="2484"/>
      <c r="HM182" s="2484"/>
      <c r="HN182" s="2484"/>
      <c r="HO182" s="2484"/>
      <c r="HP182" s="2484"/>
      <c r="HQ182" s="2484"/>
      <c r="HR182" s="2484"/>
    </row>
    <row r="183" spans="1:226" s="2485" customFormat="1" ht="15" hidden="1" customHeight="1">
      <c r="A183" s="3151"/>
      <c r="B183" s="3152"/>
      <c r="C183" s="3153"/>
      <c r="D183" s="3154"/>
      <c r="E183" s="2508"/>
      <c r="F183" s="2509">
        <f>SUM(G183:J183)</f>
        <v>0</v>
      </c>
      <c r="G183" s="2509"/>
      <c r="H183" s="2509"/>
      <c r="I183" s="2509"/>
      <c r="J183" s="2510"/>
      <c r="K183" s="2482"/>
    </row>
    <row r="184" spans="1:226" s="2485" customFormat="1" ht="15" hidden="1" customHeight="1">
      <c r="A184" s="3151"/>
      <c r="B184" s="3152"/>
      <c r="C184" s="3153"/>
      <c r="D184" s="3154"/>
      <c r="E184" s="2508"/>
      <c r="F184" s="2509">
        <f t="shared" ref="F184:F185" si="17">SUM(G184:J184)</f>
        <v>0</v>
      </c>
      <c r="G184" s="2509"/>
      <c r="H184" s="2509"/>
      <c r="I184" s="2509"/>
      <c r="J184" s="2510"/>
      <c r="K184" s="2482"/>
    </row>
    <row r="185" spans="1:226" s="2485" customFormat="1" ht="15" hidden="1" customHeight="1">
      <c r="A185" s="3151"/>
      <c r="B185" s="3152"/>
      <c r="C185" s="3153"/>
      <c r="D185" s="3154"/>
      <c r="E185" s="2508"/>
      <c r="F185" s="2509">
        <f t="shared" si="17"/>
        <v>0</v>
      </c>
      <c r="G185" s="2509"/>
      <c r="H185" s="2509"/>
      <c r="I185" s="2509"/>
      <c r="J185" s="2510"/>
      <c r="K185" s="2482"/>
    </row>
    <row r="186" spans="1:226" s="2485" customFormat="1" ht="15" hidden="1" customHeight="1">
      <c r="A186" s="3151"/>
      <c r="B186" s="3152"/>
      <c r="C186" s="3153"/>
      <c r="D186" s="3154"/>
      <c r="E186" s="2521" t="s">
        <v>1087</v>
      </c>
      <c r="F186" s="2516">
        <f>SUM(F187:F189)</f>
        <v>0</v>
      </c>
      <c r="G186" s="2516">
        <f>SUM(G187:G189)</f>
        <v>0</v>
      </c>
      <c r="H186" s="2516">
        <f>SUM(H187:H189)</f>
        <v>0</v>
      </c>
      <c r="I186" s="2516">
        <f>SUM(I187:I189)</f>
        <v>0</v>
      </c>
      <c r="J186" s="2517">
        <f>SUM(J187:J189)</f>
        <v>0</v>
      </c>
      <c r="K186" s="2482"/>
    </row>
    <row r="187" spans="1:226" s="2485" customFormat="1" ht="15" hidden="1" customHeight="1">
      <c r="A187" s="3151"/>
      <c r="B187" s="3152"/>
      <c r="C187" s="3153"/>
      <c r="D187" s="3154"/>
      <c r="E187" s="2508"/>
      <c r="F187" s="2509">
        <f>SUM(G187:J187)</f>
        <v>0</v>
      </c>
      <c r="G187" s="2509"/>
      <c r="H187" s="2509"/>
      <c r="I187" s="2509"/>
      <c r="J187" s="2510"/>
      <c r="K187" s="2482"/>
    </row>
    <row r="188" spans="1:226" s="2485" customFormat="1" ht="15" hidden="1" customHeight="1">
      <c r="A188" s="3151"/>
      <c r="B188" s="3152"/>
      <c r="C188" s="3153"/>
      <c r="D188" s="3154"/>
      <c r="E188" s="2508"/>
      <c r="F188" s="2509">
        <f>SUM(G188:J188)</f>
        <v>0</v>
      </c>
      <c r="G188" s="2509"/>
      <c r="H188" s="2509"/>
      <c r="I188" s="2509"/>
      <c r="J188" s="2510"/>
      <c r="K188" s="2482"/>
    </row>
    <row r="189" spans="1:226" s="2485" customFormat="1" ht="15" hidden="1" customHeight="1">
      <c r="A189" s="3151"/>
      <c r="B189" s="3152"/>
      <c r="C189" s="3153"/>
      <c r="D189" s="3154"/>
      <c r="E189" s="2522"/>
      <c r="F189" s="2509">
        <f>SUM(G189:J189)</f>
        <v>0</v>
      </c>
      <c r="G189" s="2509"/>
      <c r="H189" s="2509"/>
      <c r="I189" s="2509"/>
      <c r="J189" s="2510"/>
      <c r="K189" s="2482"/>
    </row>
    <row r="190" spans="1:226" s="2485" customFormat="1" ht="22.5">
      <c r="A190" s="3112" t="s">
        <v>1111</v>
      </c>
      <c r="B190" s="3113" t="s">
        <v>1113</v>
      </c>
      <c r="C190" s="3115">
        <v>710</v>
      </c>
      <c r="D190" s="3117" t="s">
        <v>716</v>
      </c>
      <c r="E190" s="2479" t="s">
        <v>1086</v>
      </c>
      <c r="F190" s="2480">
        <f>SUM(F191,F198)</f>
        <v>38253037</v>
      </c>
      <c r="G190" s="2480">
        <f>SUM(G191,G198)</f>
        <v>453282</v>
      </c>
      <c r="H190" s="2480">
        <f>SUM(H191,H198)</f>
        <v>37799755</v>
      </c>
      <c r="I190" s="2480">
        <f>SUM(I191,I198)</f>
        <v>0</v>
      </c>
      <c r="J190" s="2481">
        <f>SUM(J191,J198)</f>
        <v>0</v>
      </c>
      <c r="K190" s="2482"/>
    </row>
    <row r="191" spans="1:226" s="2485" customFormat="1" ht="21">
      <c r="A191" s="3112"/>
      <c r="B191" s="3113"/>
      <c r="C191" s="3145"/>
      <c r="D191" s="3146"/>
      <c r="E191" s="2486" t="s">
        <v>1092</v>
      </c>
      <c r="F191" s="2487">
        <f>SUM(F192,F194)</f>
        <v>28997249</v>
      </c>
      <c r="G191" s="2487">
        <f>SUM(G192,G194)</f>
        <v>0</v>
      </c>
      <c r="H191" s="2487">
        <f>SUM(H192,H194)</f>
        <v>28997249</v>
      </c>
      <c r="I191" s="2487">
        <f>SUM(I192,I194)</f>
        <v>0</v>
      </c>
      <c r="J191" s="2488">
        <f>SUM(J192,J194)</f>
        <v>0</v>
      </c>
      <c r="K191" s="2482"/>
    </row>
    <row r="192" spans="1:226" s="2485" customFormat="1" ht="15" customHeight="1">
      <c r="A192" s="3112"/>
      <c r="B192" s="3113"/>
      <c r="C192" s="3145"/>
      <c r="D192" s="3146"/>
      <c r="E192" s="2497" t="s">
        <v>1109</v>
      </c>
      <c r="F192" s="2498">
        <f>SUM(F193:F193)</f>
        <v>28997249</v>
      </c>
      <c r="G192" s="2498">
        <f>SUM(G193:G193)</f>
        <v>0</v>
      </c>
      <c r="H192" s="2498">
        <f>SUM(H193:H193)</f>
        <v>28997249</v>
      </c>
      <c r="I192" s="2498">
        <f>SUM(I193:I193)</f>
        <v>0</v>
      </c>
      <c r="J192" s="2499">
        <f>SUM(J193:J193)</f>
        <v>0</v>
      </c>
      <c r="K192" s="2482"/>
    </row>
    <row r="193" spans="1:226" s="2485" customFormat="1" ht="15" customHeight="1">
      <c r="A193" s="3112"/>
      <c r="B193" s="3113"/>
      <c r="C193" s="3145"/>
      <c r="D193" s="3146"/>
      <c r="E193" s="2489" t="s">
        <v>418</v>
      </c>
      <c r="F193" s="2490">
        <f>SUM(G193:J193)</f>
        <v>28997249</v>
      </c>
      <c r="G193" s="2490"/>
      <c r="H193" s="2490">
        <v>28997249</v>
      </c>
      <c r="I193" s="2490"/>
      <c r="J193" s="2491"/>
      <c r="K193" s="2482"/>
    </row>
    <row r="194" spans="1:226" s="2485" customFormat="1" ht="15" hidden="1" customHeight="1">
      <c r="A194" s="3112"/>
      <c r="B194" s="3113"/>
      <c r="C194" s="3145"/>
      <c r="D194" s="3146"/>
      <c r="E194" s="2497" t="s">
        <v>1094</v>
      </c>
      <c r="F194" s="2498">
        <f>SUM(F195:F197)</f>
        <v>0</v>
      </c>
      <c r="G194" s="2498">
        <f>SUM(G195:G197)</f>
        <v>0</v>
      </c>
      <c r="H194" s="2498">
        <f>SUM(H195:H197)</f>
        <v>0</v>
      </c>
      <c r="I194" s="2498">
        <f>SUM(I195:I197)</f>
        <v>0</v>
      </c>
      <c r="J194" s="2499">
        <f>SUM(J195:J197)</f>
        <v>0</v>
      </c>
      <c r="K194" s="2482"/>
      <c r="L194" s="2484"/>
      <c r="M194" s="2484"/>
      <c r="N194" s="2484"/>
      <c r="O194" s="2484"/>
      <c r="P194" s="2484"/>
      <c r="Q194" s="2484"/>
      <c r="R194" s="2484"/>
      <c r="S194" s="2484"/>
      <c r="T194" s="2484"/>
      <c r="U194" s="2484"/>
      <c r="V194" s="2484"/>
      <c r="W194" s="2484"/>
      <c r="X194" s="2484"/>
      <c r="Y194" s="2484"/>
      <c r="Z194" s="2484"/>
      <c r="AA194" s="2484"/>
      <c r="AB194" s="2484"/>
      <c r="AC194" s="2484"/>
      <c r="AD194" s="2484"/>
      <c r="AE194" s="2484"/>
      <c r="AF194" s="2484"/>
      <c r="AG194" s="2484"/>
      <c r="AH194" s="2484"/>
      <c r="AI194" s="2484"/>
      <c r="AJ194" s="2484"/>
      <c r="AK194" s="2484"/>
      <c r="AL194" s="2484"/>
      <c r="AM194" s="2484"/>
      <c r="AN194" s="2484"/>
      <c r="AO194" s="2484"/>
      <c r="AP194" s="2484"/>
      <c r="AQ194" s="2484"/>
      <c r="AR194" s="2484"/>
      <c r="AS194" s="2484"/>
      <c r="AT194" s="2484"/>
      <c r="AU194" s="2484"/>
      <c r="AV194" s="2484"/>
      <c r="AW194" s="2484"/>
      <c r="AX194" s="2484"/>
      <c r="AY194" s="2484"/>
      <c r="AZ194" s="2484"/>
      <c r="BA194" s="2484"/>
      <c r="BB194" s="2484"/>
      <c r="BC194" s="2484"/>
      <c r="BD194" s="2484"/>
      <c r="BE194" s="2484"/>
      <c r="BF194" s="2484"/>
      <c r="BG194" s="2484"/>
      <c r="BH194" s="2484"/>
      <c r="BI194" s="2484"/>
      <c r="BJ194" s="2484"/>
      <c r="BK194" s="2484"/>
      <c r="BL194" s="2484"/>
      <c r="BM194" s="2484"/>
      <c r="BN194" s="2484"/>
      <c r="BO194" s="2484"/>
      <c r="BP194" s="2484"/>
      <c r="BQ194" s="2484"/>
      <c r="BR194" s="2484"/>
      <c r="BS194" s="2484"/>
      <c r="BT194" s="2484"/>
      <c r="BU194" s="2484"/>
      <c r="BV194" s="2484"/>
      <c r="BW194" s="2484"/>
      <c r="BX194" s="2484"/>
      <c r="BY194" s="2484"/>
      <c r="BZ194" s="2484"/>
      <c r="CA194" s="2484"/>
      <c r="CB194" s="2484"/>
      <c r="CC194" s="2484"/>
      <c r="CD194" s="2484"/>
      <c r="CE194" s="2484"/>
      <c r="CF194" s="2484"/>
      <c r="CG194" s="2484"/>
      <c r="CH194" s="2484"/>
      <c r="CI194" s="2484"/>
      <c r="CJ194" s="2484"/>
      <c r="CK194" s="2484"/>
      <c r="CL194" s="2484"/>
      <c r="CM194" s="2484"/>
      <c r="CN194" s="2484"/>
      <c r="CO194" s="2484"/>
      <c r="CP194" s="2484"/>
      <c r="CQ194" s="2484"/>
      <c r="CR194" s="2484"/>
      <c r="CS194" s="2484"/>
      <c r="CT194" s="2484"/>
      <c r="CU194" s="2484"/>
      <c r="CV194" s="2484"/>
      <c r="CW194" s="2484"/>
      <c r="CX194" s="2484"/>
      <c r="CY194" s="2484"/>
      <c r="CZ194" s="2484"/>
      <c r="DA194" s="2484"/>
      <c r="DB194" s="2484"/>
      <c r="DC194" s="2484"/>
      <c r="DD194" s="2484"/>
      <c r="DE194" s="2484"/>
      <c r="DF194" s="2484"/>
      <c r="DG194" s="2484"/>
      <c r="DH194" s="2484"/>
      <c r="DI194" s="2484"/>
      <c r="DJ194" s="2484"/>
      <c r="DK194" s="2484"/>
      <c r="DL194" s="2484"/>
      <c r="DM194" s="2484"/>
      <c r="DN194" s="2484"/>
      <c r="DO194" s="2484"/>
      <c r="DP194" s="2484"/>
      <c r="DQ194" s="2484"/>
      <c r="DR194" s="2484"/>
      <c r="DS194" s="2484"/>
      <c r="DT194" s="2484"/>
      <c r="DU194" s="2484"/>
      <c r="DV194" s="2484"/>
      <c r="DW194" s="2484"/>
      <c r="DX194" s="2484"/>
      <c r="DY194" s="2484"/>
      <c r="DZ194" s="2484"/>
      <c r="EA194" s="2484"/>
      <c r="EB194" s="2484"/>
      <c r="EC194" s="2484"/>
      <c r="ED194" s="2484"/>
      <c r="EE194" s="2484"/>
      <c r="EF194" s="2484"/>
      <c r="EG194" s="2484"/>
      <c r="EH194" s="2484"/>
      <c r="EI194" s="2484"/>
      <c r="EJ194" s="2484"/>
      <c r="EK194" s="2484"/>
      <c r="EL194" s="2484"/>
      <c r="EM194" s="2484"/>
      <c r="EN194" s="2484"/>
      <c r="EO194" s="2484"/>
      <c r="EP194" s="2484"/>
      <c r="EQ194" s="2484"/>
      <c r="ER194" s="2484"/>
      <c r="ES194" s="2484"/>
      <c r="ET194" s="2484"/>
      <c r="EU194" s="2484"/>
      <c r="EV194" s="2484"/>
      <c r="EW194" s="2484"/>
      <c r="EX194" s="2484"/>
      <c r="EY194" s="2484"/>
      <c r="EZ194" s="2484"/>
      <c r="FA194" s="2484"/>
      <c r="FB194" s="2484"/>
      <c r="FC194" s="2484"/>
      <c r="FD194" s="2484"/>
      <c r="FE194" s="2484"/>
      <c r="FF194" s="2484"/>
      <c r="FG194" s="2484"/>
      <c r="FH194" s="2484"/>
      <c r="FI194" s="2484"/>
      <c r="FJ194" s="2484"/>
      <c r="FK194" s="2484"/>
      <c r="FL194" s="2484"/>
      <c r="FM194" s="2484"/>
      <c r="FN194" s="2484"/>
      <c r="FO194" s="2484"/>
      <c r="FP194" s="2484"/>
      <c r="FQ194" s="2484"/>
      <c r="FR194" s="2484"/>
      <c r="FS194" s="2484"/>
      <c r="FT194" s="2484"/>
      <c r="FU194" s="2484"/>
      <c r="FV194" s="2484"/>
      <c r="FW194" s="2484"/>
      <c r="FX194" s="2484"/>
      <c r="FY194" s="2484"/>
      <c r="FZ194" s="2484"/>
      <c r="GA194" s="2484"/>
      <c r="GB194" s="2484"/>
      <c r="GC194" s="2484"/>
      <c r="GD194" s="2484"/>
      <c r="GE194" s="2484"/>
      <c r="GF194" s="2484"/>
      <c r="GG194" s="2484"/>
      <c r="GH194" s="2484"/>
      <c r="GI194" s="2484"/>
      <c r="GJ194" s="2484"/>
      <c r="GK194" s="2484"/>
      <c r="GL194" s="2484"/>
      <c r="GM194" s="2484"/>
      <c r="GN194" s="2484"/>
      <c r="GO194" s="2484"/>
      <c r="GP194" s="2484"/>
      <c r="GQ194" s="2484"/>
      <c r="GR194" s="2484"/>
      <c r="GS194" s="2484"/>
      <c r="GT194" s="2484"/>
      <c r="GU194" s="2484"/>
      <c r="GV194" s="2484"/>
      <c r="GW194" s="2484"/>
      <c r="GX194" s="2484"/>
      <c r="GY194" s="2484"/>
      <c r="GZ194" s="2484"/>
      <c r="HA194" s="2484"/>
      <c r="HB194" s="2484"/>
      <c r="HC194" s="2484"/>
      <c r="HD194" s="2484"/>
      <c r="HE194" s="2484"/>
      <c r="HF194" s="2484"/>
      <c r="HG194" s="2484"/>
      <c r="HH194" s="2484"/>
      <c r="HI194" s="2484"/>
      <c r="HJ194" s="2484"/>
      <c r="HK194" s="2484"/>
      <c r="HL194" s="2484"/>
      <c r="HM194" s="2484"/>
      <c r="HN194" s="2484"/>
      <c r="HO194" s="2484"/>
      <c r="HP194" s="2484"/>
      <c r="HQ194" s="2484"/>
      <c r="HR194" s="2484"/>
    </row>
    <row r="195" spans="1:226" s="2485" customFormat="1" ht="15" hidden="1" customHeight="1">
      <c r="A195" s="3112"/>
      <c r="B195" s="3113"/>
      <c r="C195" s="3145"/>
      <c r="D195" s="3146"/>
      <c r="E195" s="2489" t="s">
        <v>331</v>
      </c>
      <c r="F195" s="2490">
        <f>SUM(G195:J195)</f>
        <v>0</v>
      </c>
      <c r="G195" s="2490"/>
      <c r="H195" s="2490"/>
      <c r="I195" s="2490"/>
      <c r="J195" s="2491"/>
      <c r="K195" s="2482"/>
    </row>
    <row r="196" spans="1:226" s="2485" customFormat="1" ht="15" hidden="1" customHeight="1">
      <c r="A196" s="3112"/>
      <c r="B196" s="3113"/>
      <c r="C196" s="3116"/>
      <c r="D196" s="3118"/>
      <c r="E196" s="2489" t="s">
        <v>640</v>
      </c>
      <c r="F196" s="2490">
        <f t="shared" ref="F196:F197" si="18">SUM(G196:J196)</f>
        <v>0</v>
      </c>
      <c r="G196" s="2490"/>
      <c r="H196" s="2490"/>
      <c r="I196" s="2490"/>
      <c r="J196" s="2491"/>
      <c r="K196" s="2482"/>
    </row>
    <row r="197" spans="1:226" s="2485" customFormat="1" ht="15" hidden="1" customHeight="1">
      <c r="A197" s="3112"/>
      <c r="B197" s="3113"/>
      <c r="C197" s="2493"/>
      <c r="D197" s="2502"/>
      <c r="E197" s="2489"/>
      <c r="F197" s="2490">
        <f t="shared" si="18"/>
        <v>0</v>
      </c>
      <c r="G197" s="2490"/>
      <c r="H197" s="2490"/>
      <c r="I197" s="2490"/>
      <c r="J197" s="2491"/>
      <c r="K197" s="2482"/>
    </row>
    <row r="198" spans="1:226" s="2485" customFormat="1" ht="15" customHeight="1">
      <c r="A198" s="3112"/>
      <c r="B198" s="3113"/>
      <c r="C198" s="3114">
        <v>720</v>
      </c>
      <c r="D198" s="3134" t="s">
        <v>721</v>
      </c>
      <c r="E198" s="2492" t="s">
        <v>1087</v>
      </c>
      <c r="F198" s="2487">
        <f>SUM(F199:F202)</f>
        <v>9255788</v>
      </c>
      <c r="G198" s="2487">
        <f>SUM(G199:G202)</f>
        <v>453282</v>
      </c>
      <c r="H198" s="2487">
        <f>SUM(H199:H202)</f>
        <v>8802506</v>
      </c>
      <c r="I198" s="2487">
        <f>SUM(I199:I202)</f>
        <v>0</v>
      </c>
      <c r="J198" s="2488">
        <f>SUM(J199:J202)</f>
        <v>0</v>
      </c>
      <c r="K198" s="2495"/>
    </row>
    <row r="199" spans="1:226" s="2485" customFormat="1" ht="15" customHeight="1">
      <c r="A199" s="3112"/>
      <c r="B199" s="3113"/>
      <c r="C199" s="3114"/>
      <c r="D199" s="3134"/>
      <c r="E199" s="2489" t="s">
        <v>582</v>
      </c>
      <c r="F199" s="2490">
        <f>SUM(G199:J199)</f>
        <v>2000</v>
      </c>
      <c r="G199" s="2490">
        <v>2000</v>
      </c>
      <c r="H199" s="2490"/>
      <c r="I199" s="2490"/>
      <c r="J199" s="2491"/>
      <c r="K199" s="2495"/>
    </row>
    <row r="200" spans="1:226" s="2485" customFormat="1" ht="15" customHeight="1">
      <c r="A200" s="3112"/>
      <c r="B200" s="3113"/>
      <c r="C200" s="3114"/>
      <c r="D200" s="3134"/>
      <c r="E200" s="2489" t="s">
        <v>676</v>
      </c>
      <c r="F200" s="2490">
        <f>SUM(G200:J200)</f>
        <v>2946081</v>
      </c>
      <c r="G200" s="2490"/>
      <c r="H200" s="2490">
        <v>2946081</v>
      </c>
      <c r="I200" s="2490"/>
      <c r="J200" s="2491"/>
      <c r="K200" s="2495"/>
    </row>
    <row r="201" spans="1:226" s="2485" customFormat="1" ht="15" customHeight="1">
      <c r="A201" s="3112"/>
      <c r="B201" s="3113"/>
      <c r="C201" s="3114"/>
      <c r="D201" s="3134"/>
      <c r="E201" s="2503">
        <v>6059</v>
      </c>
      <c r="F201" s="2490">
        <f>SUM(G201:J201)</f>
        <v>451282</v>
      </c>
      <c r="G201" s="2490">
        <v>451282</v>
      </c>
      <c r="H201" s="2490"/>
      <c r="I201" s="2490"/>
      <c r="J201" s="2491"/>
      <c r="K201" s="2482"/>
    </row>
    <row r="202" spans="1:226" s="2485" customFormat="1" ht="15" customHeight="1">
      <c r="A202" s="3112"/>
      <c r="B202" s="3113"/>
      <c r="C202" s="3114"/>
      <c r="D202" s="3134"/>
      <c r="E202" s="2503">
        <v>6257</v>
      </c>
      <c r="F202" s="2490">
        <f>SUM(G202:J202)</f>
        <v>5856425</v>
      </c>
      <c r="G202" s="2490"/>
      <c r="H202" s="2490">
        <v>5856425</v>
      </c>
      <c r="I202" s="2490"/>
      <c r="J202" s="2491"/>
      <c r="K202" s="2482"/>
    </row>
    <row r="203" spans="1:226" s="2485" customFormat="1" ht="22.5">
      <c r="A203" s="3112" t="s">
        <v>1114</v>
      </c>
      <c r="B203" s="3113" t="s">
        <v>1115</v>
      </c>
      <c r="C203" s="3114">
        <v>730</v>
      </c>
      <c r="D203" s="3134" t="s">
        <v>725</v>
      </c>
      <c r="E203" s="2479" t="s">
        <v>1086</v>
      </c>
      <c r="F203" s="2480">
        <f>SUM(F204,F220)</f>
        <v>1022000</v>
      </c>
      <c r="G203" s="2480">
        <f>SUM(G204,G220)</f>
        <v>0</v>
      </c>
      <c r="H203" s="2480">
        <f>SUM(H204,H220)</f>
        <v>1022000</v>
      </c>
      <c r="I203" s="2480">
        <f>SUM(I204,I220)</f>
        <v>0</v>
      </c>
      <c r="J203" s="2481">
        <f>SUM(J204,J220)</f>
        <v>0</v>
      </c>
      <c r="K203" s="2482"/>
    </row>
    <row r="204" spans="1:226" s="2485" customFormat="1" ht="21">
      <c r="A204" s="3112"/>
      <c r="B204" s="3113"/>
      <c r="C204" s="3114"/>
      <c r="D204" s="3134"/>
      <c r="E204" s="2486" t="s">
        <v>1092</v>
      </c>
      <c r="F204" s="2487">
        <f>SUM(F205,F211)</f>
        <v>1010000</v>
      </c>
      <c r="G204" s="2487">
        <f>SUM(G205,G211)</f>
        <v>0</v>
      </c>
      <c r="H204" s="2487">
        <f>SUM(H205,H211)</f>
        <v>1010000</v>
      </c>
      <c r="I204" s="2487">
        <f>SUM(I205,I211)</f>
        <v>0</v>
      </c>
      <c r="J204" s="2488">
        <f>SUM(J205,J211)</f>
        <v>0</v>
      </c>
      <c r="K204" s="2482"/>
    </row>
    <row r="205" spans="1:226" s="2485" customFormat="1" ht="22.5">
      <c r="A205" s="3112"/>
      <c r="B205" s="3113"/>
      <c r="C205" s="3114"/>
      <c r="D205" s="3134"/>
      <c r="E205" s="2497" t="s">
        <v>1093</v>
      </c>
      <c r="F205" s="2498">
        <f>SUM(F206:F210)</f>
        <v>280000</v>
      </c>
      <c r="G205" s="2498">
        <f>SUM(G206:G210)</f>
        <v>0</v>
      </c>
      <c r="H205" s="2498">
        <f>SUM(H206:H210)</f>
        <v>280000</v>
      </c>
      <c r="I205" s="2498">
        <f>SUM(I206:I210)</f>
        <v>0</v>
      </c>
      <c r="J205" s="2499">
        <f>SUM(J206:J210)</f>
        <v>0</v>
      </c>
      <c r="K205" s="2482"/>
    </row>
    <row r="206" spans="1:226" s="2485" customFormat="1" ht="15" customHeight="1">
      <c r="A206" s="3112"/>
      <c r="B206" s="3113"/>
      <c r="C206" s="3114"/>
      <c r="D206" s="3134"/>
      <c r="E206" s="2489" t="s">
        <v>647</v>
      </c>
      <c r="F206" s="2490">
        <f>SUM(G206:J206)</f>
        <v>90141</v>
      </c>
      <c r="G206" s="2490"/>
      <c r="H206" s="2490">
        <v>90141</v>
      </c>
      <c r="I206" s="2490"/>
      <c r="J206" s="2491"/>
      <c r="K206" s="2482"/>
    </row>
    <row r="207" spans="1:226" s="2485" customFormat="1" ht="15" customHeight="1">
      <c r="A207" s="3112"/>
      <c r="B207" s="3113"/>
      <c r="C207" s="3114"/>
      <c r="D207" s="3134"/>
      <c r="E207" s="2489" t="s">
        <v>648</v>
      </c>
      <c r="F207" s="2490">
        <f t="shared" ref="F207:F208" si="19">SUM(G207:J207)</f>
        <v>10000</v>
      </c>
      <c r="G207" s="2490"/>
      <c r="H207" s="2490">
        <v>10000</v>
      </c>
      <c r="I207" s="2490"/>
      <c r="J207" s="2491"/>
      <c r="K207" s="2482"/>
    </row>
    <row r="208" spans="1:226" s="2485" customFormat="1" ht="15" customHeight="1">
      <c r="A208" s="3112"/>
      <c r="B208" s="3113"/>
      <c r="C208" s="3114"/>
      <c r="D208" s="3134"/>
      <c r="E208" s="2489" t="s">
        <v>649</v>
      </c>
      <c r="F208" s="2490">
        <f t="shared" si="19"/>
        <v>17405</v>
      </c>
      <c r="G208" s="2490"/>
      <c r="H208" s="2490">
        <v>17405</v>
      </c>
      <c r="I208" s="2490"/>
      <c r="J208" s="2491"/>
      <c r="K208" s="2482"/>
    </row>
    <row r="209" spans="1:226" s="2485" customFormat="1" ht="15" customHeight="1">
      <c r="A209" s="3112"/>
      <c r="B209" s="3113"/>
      <c r="C209" s="3114"/>
      <c r="D209" s="3134"/>
      <c r="E209" s="2489" t="s">
        <v>650</v>
      </c>
      <c r="F209" s="2490">
        <f>SUM(G209:J209)</f>
        <v>2454</v>
      </c>
      <c r="G209" s="2490"/>
      <c r="H209" s="2490">
        <v>2454</v>
      </c>
      <c r="I209" s="2490"/>
      <c r="J209" s="2491"/>
      <c r="K209" s="2482"/>
    </row>
    <row r="210" spans="1:226" s="2485" customFormat="1" ht="15" customHeight="1">
      <c r="A210" s="3112"/>
      <c r="B210" s="3113"/>
      <c r="C210" s="3114"/>
      <c r="D210" s="3134"/>
      <c r="E210" s="2489" t="s">
        <v>726</v>
      </c>
      <c r="F210" s="2490">
        <f>SUM(G210:J210)</f>
        <v>160000</v>
      </c>
      <c r="G210" s="2490"/>
      <c r="H210" s="2490">
        <v>160000</v>
      </c>
      <c r="I210" s="2490"/>
      <c r="J210" s="2491"/>
      <c r="K210" s="2482"/>
    </row>
    <row r="211" spans="1:226" s="2485" customFormat="1" ht="22.5">
      <c r="A211" s="3112"/>
      <c r="B211" s="3113"/>
      <c r="C211" s="3114"/>
      <c r="D211" s="3134"/>
      <c r="E211" s="2497" t="s">
        <v>1094</v>
      </c>
      <c r="F211" s="2498">
        <f>SUM(F212:F219)</f>
        <v>730000</v>
      </c>
      <c r="G211" s="2498">
        <f t="shared" ref="G211:J211" si="20">SUM(G212:G219)</f>
        <v>0</v>
      </c>
      <c r="H211" s="2498">
        <f t="shared" si="20"/>
        <v>730000</v>
      </c>
      <c r="I211" s="2498">
        <f t="shared" si="20"/>
        <v>0</v>
      </c>
      <c r="J211" s="2499">
        <f t="shared" si="20"/>
        <v>0</v>
      </c>
      <c r="K211" s="2482"/>
      <c r="L211" s="2484"/>
      <c r="M211" s="2484"/>
      <c r="N211" s="2484"/>
      <c r="O211" s="2484"/>
      <c r="P211" s="2484"/>
      <c r="Q211" s="2484"/>
      <c r="R211" s="2484"/>
      <c r="S211" s="2484"/>
      <c r="T211" s="2484"/>
      <c r="U211" s="2484"/>
      <c r="V211" s="2484"/>
      <c r="W211" s="2484"/>
      <c r="X211" s="2484"/>
      <c r="Y211" s="2484"/>
      <c r="Z211" s="2484"/>
      <c r="AA211" s="2484"/>
      <c r="AB211" s="2484"/>
      <c r="AC211" s="2484"/>
      <c r="AD211" s="2484"/>
      <c r="AE211" s="2484"/>
      <c r="AF211" s="2484"/>
      <c r="AG211" s="2484"/>
      <c r="AH211" s="2484"/>
      <c r="AI211" s="2484"/>
      <c r="AJ211" s="2484"/>
      <c r="AK211" s="2484"/>
      <c r="AL211" s="2484"/>
      <c r="AM211" s="2484"/>
      <c r="AN211" s="2484"/>
      <c r="AO211" s="2484"/>
      <c r="AP211" s="2484"/>
      <c r="AQ211" s="2484"/>
      <c r="AR211" s="2484"/>
      <c r="AS211" s="2484"/>
      <c r="AT211" s="2484"/>
      <c r="AU211" s="2484"/>
      <c r="AV211" s="2484"/>
      <c r="AW211" s="2484"/>
      <c r="AX211" s="2484"/>
      <c r="AY211" s="2484"/>
      <c r="AZ211" s="2484"/>
      <c r="BA211" s="2484"/>
      <c r="BB211" s="2484"/>
      <c r="BC211" s="2484"/>
      <c r="BD211" s="2484"/>
      <c r="BE211" s="2484"/>
      <c r="BF211" s="2484"/>
      <c r="BG211" s="2484"/>
      <c r="BH211" s="2484"/>
      <c r="BI211" s="2484"/>
      <c r="BJ211" s="2484"/>
      <c r="BK211" s="2484"/>
      <c r="BL211" s="2484"/>
      <c r="BM211" s="2484"/>
      <c r="BN211" s="2484"/>
      <c r="BO211" s="2484"/>
      <c r="BP211" s="2484"/>
      <c r="BQ211" s="2484"/>
      <c r="BR211" s="2484"/>
      <c r="BS211" s="2484"/>
      <c r="BT211" s="2484"/>
      <c r="BU211" s="2484"/>
      <c r="BV211" s="2484"/>
      <c r="BW211" s="2484"/>
      <c r="BX211" s="2484"/>
      <c r="BY211" s="2484"/>
      <c r="BZ211" s="2484"/>
      <c r="CA211" s="2484"/>
      <c r="CB211" s="2484"/>
      <c r="CC211" s="2484"/>
      <c r="CD211" s="2484"/>
      <c r="CE211" s="2484"/>
      <c r="CF211" s="2484"/>
      <c r="CG211" s="2484"/>
      <c r="CH211" s="2484"/>
      <c r="CI211" s="2484"/>
      <c r="CJ211" s="2484"/>
      <c r="CK211" s="2484"/>
      <c r="CL211" s="2484"/>
      <c r="CM211" s="2484"/>
      <c r="CN211" s="2484"/>
      <c r="CO211" s="2484"/>
      <c r="CP211" s="2484"/>
      <c r="CQ211" s="2484"/>
      <c r="CR211" s="2484"/>
      <c r="CS211" s="2484"/>
      <c r="CT211" s="2484"/>
      <c r="CU211" s="2484"/>
      <c r="CV211" s="2484"/>
      <c r="CW211" s="2484"/>
      <c r="CX211" s="2484"/>
      <c r="CY211" s="2484"/>
      <c r="CZ211" s="2484"/>
      <c r="DA211" s="2484"/>
      <c r="DB211" s="2484"/>
      <c r="DC211" s="2484"/>
      <c r="DD211" s="2484"/>
      <c r="DE211" s="2484"/>
      <c r="DF211" s="2484"/>
      <c r="DG211" s="2484"/>
      <c r="DH211" s="2484"/>
      <c r="DI211" s="2484"/>
      <c r="DJ211" s="2484"/>
      <c r="DK211" s="2484"/>
      <c r="DL211" s="2484"/>
      <c r="DM211" s="2484"/>
      <c r="DN211" s="2484"/>
      <c r="DO211" s="2484"/>
      <c r="DP211" s="2484"/>
      <c r="DQ211" s="2484"/>
      <c r="DR211" s="2484"/>
      <c r="DS211" s="2484"/>
      <c r="DT211" s="2484"/>
      <c r="DU211" s="2484"/>
      <c r="DV211" s="2484"/>
      <c r="DW211" s="2484"/>
      <c r="DX211" s="2484"/>
      <c r="DY211" s="2484"/>
      <c r="DZ211" s="2484"/>
      <c r="EA211" s="2484"/>
      <c r="EB211" s="2484"/>
      <c r="EC211" s="2484"/>
      <c r="ED211" s="2484"/>
      <c r="EE211" s="2484"/>
      <c r="EF211" s="2484"/>
      <c r="EG211" s="2484"/>
      <c r="EH211" s="2484"/>
      <c r="EI211" s="2484"/>
      <c r="EJ211" s="2484"/>
      <c r="EK211" s="2484"/>
      <c r="EL211" s="2484"/>
      <c r="EM211" s="2484"/>
      <c r="EN211" s="2484"/>
      <c r="EO211" s="2484"/>
      <c r="EP211" s="2484"/>
      <c r="EQ211" s="2484"/>
      <c r="ER211" s="2484"/>
      <c r="ES211" s="2484"/>
      <c r="ET211" s="2484"/>
      <c r="EU211" s="2484"/>
      <c r="EV211" s="2484"/>
      <c r="EW211" s="2484"/>
      <c r="EX211" s="2484"/>
      <c r="EY211" s="2484"/>
      <c r="EZ211" s="2484"/>
      <c r="FA211" s="2484"/>
      <c r="FB211" s="2484"/>
      <c r="FC211" s="2484"/>
      <c r="FD211" s="2484"/>
      <c r="FE211" s="2484"/>
      <c r="FF211" s="2484"/>
      <c r="FG211" s="2484"/>
      <c r="FH211" s="2484"/>
      <c r="FI211" s="2484"/>
      <c r="FJ211" s="2484"/>
      <c r="FK211" s="2484"/>
      <c r="FL211" s="2484"/>
      <c r="FM211" s="2484"/>
      <c r="FN211" s="2484"/>
      <c r="FO211" s="2484"/>
      <c r="FP211" s="2484"/>
      <c r="FQ211" s="2484"/>
      <c r="FR211" s="2484"/>
      <c r="FS211" s="2484"/>
      <c r="FT211" s="2484"/>
      <c r="FU211" s="2484"/>
      <c r="FV211" s="2484"/>
      <c r="FW211" s="2484"/>
      <c r="FX211" s="2484"/>
      <c r="FY211" s="2484"/>
      <c r="FZ211" s="2484"/>
      <c r="GA211" s="2484"/>
      <c r="GB211" s="2484"/>
      <c r="GC211" s="2484"/>
      <c r="GD211" s="2484"/>
      <c r="GE211" s="2484"/>
      <c r="GF211" s="2484"/>
      <c r="GG211" s="2484"/>
      <c r="GH211" s="2484"/>
      <c r="GI211" s="2484"/>
      <c r="GJ211" s="2484"/>
      <c r="GK211" s="2484"/>
      <c r="GL211" s="2484"/>
      <c r="GM211" s="2484"/>
      <c r="GN211" s="2484"/>
      <c r="GO211" s="2484"/>
      <c r="GP211" s="2484"/>
      <c r="GQ211" s="2484"/>
      <c r="GR211" s="2484"/>
      <c r="GS211" s="2484"/>
      <c r="GT211" s="2484"/>
      <c r="GU211" s="2484"/>
      <c r="GV211" s="2484"/>
      <c r="GW211" s="2484"/>
      <c r="GX211" s="2484"/>
      <c r="GY211" s="2484"/>
      <c r="GZ211" s="2484"/>
      <c r="HA211" s="2484"/>
      <c r="HB211" s="2484"/>
      <c r="HC211" s="2484"/>
      <c r="HD211" s="2484"/>
      <c r="HE211" s="2484"/>
      <c r="HF211" s="2484"/>
      <c r="HG211" s="2484"/>
      <c r="HH211" s="2484"/>
      <c r="HI211" s="2484"/>
      <c r="HJ211" s="2484"/>
      <c r="HK211" s="2484"/>
      <c r="HL211" s="2484"/>
      <c r="HM211" s="2484"/>
      <c r="HN211" s="2484"/>
      <c r="HO211" s="2484"/>
      <c r="HP211" s="2484"/>
      <c r="HQ211" s="2484"/>
      <c r="HR211" s="2484"/>
    </row>
    <row r="212" spans="1:226" s="2485" customFormat="1" ht="15" customHeight="1">
      <c r="A212" s="3112"/>
      <c r="B212" s="3113"/>
      <c r="C212" s="3114"/>
      <c r="D212" s="3134"/>
      <c r="E212" s="2489" t="s">
        <v>651</v>
      </c>
      <c r="F212" s="2490">
        <f t="shared" ref="F212:F216" si="21">SUM(G212:J212)</f>
        <v>20000</v>
      </c>
      <c r="G212" s="2490"/>
      <c r="H212" s="2490">
        <v>20000</v>
      </c>
      <c r="I212" s="2490"/>
      <c r="J212" s="2491"/>
      <c r="K212" s="2482"/>
    </row>
    <row r="213" spans="1:226" s="2485" customFormat="1" ht="15" customHeight="1">
      <c r="A213" s="3112"/>
      <c r="B213" s="3113"/>
      <c r="C213" s="3114"/>
      <c r="D213" s="3134"/>
      <c r="E213" s="2489" t="s">
        <v>652</v>
      </c>
      <c r="F213" s="2490">
        <f t="shared" si="21"/>
        <v>290000</v>
      </c>
      <c r="G213" s="2490"/>
      <c r="H213" s="2490">
        <v>290000</v>
      </c>
      <c r="I213" s="2490"/>
      <c r="J213" s="2491"/>
      <c r="K213" s="2482"/>
    </row>
    <row r="214" spans="1:226" s="2485" customFormat="1" ht="15" customHeight="1">
      <c r="A214" s="3112"/>
      <c r="B214" s="3113"/>
      <c r="C214" s="3114"/>
      <c r="D214" s="3134"/>
      <c r="E214" s="2489" t="s">
        <v>727</v>
      </c>
      <c r="F214" s="2490">
        <f t="shared" si="21"/>
        <v>40000</v>
      </c>
      <c r="G214" s="2490"/>
      <c r="H214" s="2490">
        <v>40000</v>
      </c>
      <c r="I214" s="2490"/>
      <c r="J214" s="2491"/>
      <c r="K214" s="2482"/>
    </row>
    <row r="215" spans="1:226" s="2485" customFormat="1" ht="15" customHeight="1">
      <c r="A215" s="3112"/>
      <c r="B215" s="3113"/>
      <c r="C215" s="3114"/>
      <c r="D215" s="3134"/>
      <c r="E215" s="2489" t="s">
        <v>729</v>
      </c>
      <c r="F215" s="2490">
        <f t="shared" si="21"/>
        <v>120000</v>
      </c>
      <c r="G215" s="2490"/>
      <c r="H215" s="2490">
        <v>120000</v>
      </c>
      <c r="I215" s="2490"/>
      <c r="J215" s="2491"/>
      <c r="K215" s="2482"/>
    </row>
    <row r="216" spans="1:226" s="2485" customFormat="1" ht="15" customHeight="1">
      <c r="A216" s="3112"/>
      <c r="B216" s="3113"/>
      <c r="C216" s="3114"/>
      <c r="D216" s="3134"/>
      <c r="E216" s="2489" t="s">
        <v>653</v>
      </c>
      <c r="F216" s="2490">
        <f t="shared" si="21"/>
        <v>50000</v>
      </c>
      <c r="G216" s="2490"/>
      <c r="H216" s="2490">
        <v>50000</v>
      </c>
      <c r="I216" s="2490"/>
      <c r="J216" s="2491"/>
      <c r="K216" s="2482"/>
    </row>
    <row r="217" spans="1:226" s="2485" customFormat="1" ht="15" customHeight="1">
      <c r="A217" s="3112"/>
      <c r="B217" s="3113"/>
      <c r="C217" s="3114"/>
      <c r="D217" s="3134"/>
      <c r="E217" s="2489" t="s">
        <v>730</v>
      </c>
      <c r="F217" s="2490">
        <f>SUM(G217:J217)</f>
        <v>150000</v>
      </c>
      <c r="G217" s="2490"/>
      <c r="H217" s="2490">
        <v>150000</v>
      </c>
      <c r="I217" s="2490"/>
      <c r="J217" s="2491"/>
      <c r="K217" s="2482"/>
    </row>
    <row r="218" spans="1:226" s="2485" customFormat="1" ht="15" customHeight="1">
      <c r="A218" s="3112"/>
      <c r="B218" s="3113"/>
      <c r="C218" s="3114"/>
      <c r="D218" s="3134"/>
      <c r="E218" s="2489" t="s">
        <v>654</v>
      </c>
      <c r="F218" s="2490">
        <f>SUM(G218:J218)</f>
        <v>60000</v>
      </c>
      <c r="G218" s="2490"/>
      <c r="H218" s="2490">
        <v>60000</v>
      </c>
      <c r="I218" s="2490"/>
      <c r="J218" s="2491"/>
      <c r="K218" s="2482"/>
    </row>
    <row r="219" spans="1:226" s="2485" customFormat="1" ht="15" hidden="1" customHeight="1">
      <c r="A219" s="3112"/>
      <c r="B219" s="3113"/>
      <c r="C219" s="3114"/>
      <c r="D219" s="3134"/>
      <c r="E219" s="2489" t="s">
        <v>331</v>
      </c>
      <c r="F219" s="2490">
        <f>SUM(G219:J219)</f>
        <v>0</v>
      </c>
      <c r="G219" s="2490"/>
      <c r="H219" s="2490"/>
      <c r="I219" s="2490"/>
      <c r="J219" s="2491"/>
      <c r="K219" s="2482"/>
    </row>
    <row r="220" spans="1:226" s="2485" customFormat="1" ht="15" customHeight="1">
      <c r="A220" s="3112"/>
      <c r="B220" s="3113"/>
      <c r="C220" s="3114"/>
      <c r="D220" s="3134"/>
      <c r="E220" s="2492" t="s">
        <v>1087</v>
      </c>
      <c r="F220" s="2487">
        <f>SUM(F221:F222)</f>
        <v>12000</v>
      </c>
      <c r="G220" s="2487">
        <f>SUM(G221:G222)</f>
        <v>0</v>
      </c>
      <c r="H220" s="2487">
        <f>SUM(H221:H222)</f>
        <v>12000</v>
      </c>
      <c r="I220" s="2487">
        <f>SUM(I221:I222)</f>
        <v>0</v>
      </c>
      <c r="J220" s="2488">
        <f>SUM(J221:J222)</f>
        <v>0</v>
      </c>
      <c r="K220" s="2482"/>
    </row>
    <row r="221" spans="1:226" s="2485" customFormat="1" ht="15" customHeight="1">
      <c r="A221" s="3112"/>
      <c r="B221" s="3113"/>
      <c r="C221" s="3114"/>
      <c r="D221" s="3134"/>
      <c r="E221" s="2489" t="s">
        <v>676</v>
      </c>
      <c r="F221" s="2490">
        <f>SUM(G221:J221)</f>
        <v>12000</v>
      </c>
      <c r="G221" s="2490"/>
      <c r="H221" s="2490">
        <v>12000</v>
      </c>
      <c r="I221" s="2490"/>
      <c r="J221" s="2491"/>
      <c r="K221" s="2482"/>
    </row>
    <row r="222" spans="1:226" s="2485" customFormat="1" ht="15" hidden="1" customHeight="1">
      <c r="A222" s="3112"/>
      <c r="B222" s="3113"/>
      <c r="C222" s="3114"/>
      <c r="D222" s="3134"/>
      <c r="E222" s="2503"/>
      <c r="F222" s="2490">
        <f>SUM(G222:J222)</f>
        <v>0</v>
      </c>
      <c r="G222" s="2490"/>
      <c r="H222" s="2490"/>
      <c r="I222" s="2490"/>
      <c r="J222" s="2491"/>
      <c r="K222" s="2482"/>
    </row>
    <row r="223" spans="1:226" s="2485" customFormat="1" ht="22.5">
      <c r="A223" s="3112" t="s">
        <v>1116</v>
      </c>
      <c r="B223" s="3113" t="s">
        <v>1117</v>
      </c>
      <c r="C223" s="3114">
        <v>750</v>
      </c>
      <c r="D223" s="3134" t="s">
        <v>738</v>
      </c>
      <c r="E223" s="2479" t="s">
        <v>1086</v>
      </c>
      <c r="F223" s="2480">
        <f>SUM(F224,F233)</f>
        <v>3521375</v>
      </c>
      <c r="G223" s="2480">
        <f>SUM(G224,G233)</f>
        <v>624256</v>
      </c>
      <c r="H223" s="2480">
        <f>SUM(H224,H233)</f>
        <v>2897119</v>
      </c>
      <c r="I223" s="2480">
        <f>SUM(I224,I233)</f>
        <v>0</v>
      </c>
      <c r="J223" s="2481">
        <f>SUM(J224,J233)</f>
        <v>0</v>
      </c>
      <c r="K223" s="2482"/>
    </row>
    <row r="224" spans="1:226" s="2485" customFormat="1" ht="21">
      <c r="A224" s="3112"/>
      <c r="B224" s="3113"/>
      <c r="C224" s="3114"/>
      <c r="D224" s="3134"/>
      <c r="E224" s="2486" t="s">
        <v>1092</v>
      </c>
      <c r="F224" s="2487">
        <f>SUM(F225,F229)</f>
        <v>0</v>
      </c>
      <c r="G224" s="2487">
        <f>SUM(G225,G229)</f>
        <v>0</v>
      </c>
      <c r="H224" s="2487">
        <f>SUM(H225,H229)</f>
        <v>0</v>
      </c>
      <c r="I224" s="2487">
        <f>SUM(I225,I229)</f>
        <v>0</v>
      </c>
      <c r="J224" s="2488">
        <f>SUM(J225,J229)</f>
        <v>0</v>
      </c>
      <c r="K224" s="2482"/>
    </row>
    <row r="225" spans="1:226" s="2485" customFormat="1" ht="15" hidden="1" customHeight="1">
      <c r="A225" s="3112"/>
      <c r="B225" s="3113"/>
      <c r="C225" s="3114"/>
      <c r="D225" s="3134"/>
      <c r="E225" s="2497" t="s">
        <v>1093</v>
      </c>
      <c r="F225" s="2498">
        <f>SUM(F226:F228)</f>
        <v>0</v>
      </c>
      <c r="G225" s="2498">
        <f>SUM(G226:G228)</f>
        <v>0</v>
      </c>
      <c r="H225" s="2498">
        <f>SUM(H226:H228)</f>
        <v>0</v>
      </c>
      <c r="I225" s="2498">
        <f>SUM(I226:I228)</f>
        <v>0</v>
      </c>
      <c r="J225" s="2499">
        <f>SUM(J226:J228)</f>
        <v>0</v>
      </c>
      <c r="K225" s="2482"/>
    </row>
    <row r="226" spans="1:226" s="2485" customFormat="1" ht="15" hidden="1" customHeight="1">
      <c r="A226" s="3112"/>
      <c r="B226" s="3113"/>
      <c r="C226" s="3114"/>
      <c r="D226" s="3134"/>
      <c r="E226" s="2489"/>
      <c r="F226" s="2490">
        <f>SUM(G226:J226)</f>
        <v>0</v>
      </c>
      <c r="G226" s="2490"/>
      <c r="H226" s="2490"/>
      <c r="I226" s="2490"/>
      <c r="J226" s="2491"/>
      <c r="K226" s="2482"/>
    </row>
    <row r="227" spans="1:226" s="2485" customFormat="1" ht="15" hidden="1" customHeight="1">
      <c r="A227" s="3112"/>
      <c r="B227" s="3113"/>
      <c r="C227" s="3114"/>
      <c r="D227" s="3134"/>
      <c r="E227" s="2489"/>
      <c r="F227" s="2490">
        <f>SUM(G227:J227)</f>
        <v>0</v>
      </c>
      <c r="G227" s="2490"/>
      <c r="H227" s="2490"/>
      <c r="I227" s="2490"/>
      <c r="J227" s="2491"/>
      <c r="K227" s="2482"/>
    </row>
    <row r="228" spans="1:226" s="2485" customFormat="1" ht="15" hidden="1" customHeight="1">
      <c r="A228" s="3112"/>
      <c r="B228" s="3113"/>
      <c r="C228" s="3114"/>
      <c r="D228" s="3134"/>
      <c r="E228" s="2489"/>
      <c r="F228" s="2490">
        <f>SUM(G228:J228)</f>
        <v>0</v>
      </c>
      <c r="G228" s="2490"/>
      <c r="H228" s="2490"/>
      <c r="I228" s="2490"/>
      <c r="J228" s="2491"/>
      <c r="K228" s="2482"/>
    </row>
    <row r="229" spans="1:226" s="2485" customFormat="1" ht="15" hidden="1" customHeight="1">
      <c r="A229" s="3112"/>
      <c r="B229" s="3113"/>
      <c r="C229" s="3114"/>
      <c r="D229" s="3134"/>
      <c r="E229" s="2497" t="s">
        <v>1094</v>
      </c>
      <c r="F229" s="2498">
        <f>SUM(F230:F232)</f>
        <v>0</v>
      </c>
      <c r="G229" s="2498">
        <f>SUM(G230:G232)</f>
        <v>0</v>
      </c>
      <c r="H229" s="2498">
        <f>SUM(H230:H232)</f>
        <v>0</v>
      </c>
      <c r="I229" s="2498">
        <f>SUM(I230:I232)</f>
        <v>0</v>
      </c>
      <c r="J229" s="2499">
        <f>SUM(J230:J232)</f>
        <v>0</v>
      </c>
      <c r="K229" s="2482"/>
      <c r="L229" s="2484"/>
      <c r="M229" s="2484"/>
      <c r="N229" s="2484"/>
      <c r="O229" s="2484"/>
      <c r="P229" s="2484"/>
      <c r="Q229" s="2484"/>
      <c r="R229" s="2484"/>
      <c r="S229" s="2484"/>
      <c r="T229" s="2484"/>
      <c r="U229" s="2484"/>
      <c r="V229" s="2484"/>
      <c r="W229" s="2484"/>
      <c r="X229" s="2484"/>
      <c r="Y229" s="2484"/>
      <c r="Z229" s="2484"/>
      <c r="AA229" s="2484"/>
      <c r="AB229" s="2484"/>
      <c r="AC229" s="2484"/>
      <c r="AD229" s="2484"/>
      <c r="AE229" s="2484"/>
      <c r="AF229" s="2484"/>
      <c r="AG229" s="2484"/>
      <c r="AH229" s="2484"/>
      <c r="AI229" s="2484"/>
      <c r="AJ229" s="2484"/>
      <c r="AK229" s="2484"/>
      <c r="AL229" s="2484"/>
      <c r="AM229" s="2484"/>
      <c r="AN229" s="2484"/>
      <c r="AO229" s="2484"/>
      <c r="AP229" s="2484"/>
      <c r="AQ229" s="2484"/>
      <c r="AR229" s="2484"/>
      <c r="AS229" s="2484"/>
      <c r="AT229" s="2484"/>
      <c r="AU229" s="2484"/>
      <c r="AV229" s="2484"/>
      <c r="AW229" s="2484"/>
      <c r="AX229" s="2484"/>
      <c r="AY229" s="2484"/>
      <c r="AZ229" s="2484"/>
      <c r="BA229" s="2484"/>
      <c r="BB229" s="2484"/>
      <c r="BC229" s="2484"/>
      <c r="BD229" s="2484"/>
      <c r="BE229" s="2484"/>
      <c r="BF229" s="2484"/>
      <c r="BG229" s="2484"/>
      <c r="BH229" s="2484"/>
      <c r="BI229" s="2484"/>
      <c r="BJ229" s="2484"/>
      <c r="BK229" s="2484"/>
      <c r="BL229" s="2484"/>
      <c r="BM229" s="2484"/>
      <c r="BN229" s="2484"/>
      <c r="BO229" s="2484"/>
      <c r="BP229" s="2484"/>
      <c r="BQ229" s="2484"/>
      <c r="BR229" s="2484"/>
      <c r="BS229" s="2484"/>
      <c r="BT229" s="2484"/>
      <c r="BU229" s="2484"/>
      <c r="BV229" s="2484"/>
      <c r="BW229" s="2484"/>
      <c r="BX229" s="2484"/>
      <c r="BY229" s="2484"/>
      <c r="BZ229" s="2484"/>
      <c r="CA229" s="2484"/>
      <c r="CB229" s="2484"/>
      <c r="CC229" s="2484"/>
      <c r="CD229" s="2484"/>
      <c r="CE229" s="2484"/>
      <c r="CF229" s="2484"/>
      <c r="CG229" s="2484"/>
      <c r="CH229" s="2484"/>
      <c r="CI229" s="2484"/>
      <c r="CJ229" s="2484"/>
      <c r="CK229" s="2484"/>
      <c r="CL229" s="2484"/>
      <c r="CM229" s="2484"/>
      <c r="CN229" s="2484"/>
      <c r="CO229" s="2484"/>
      <c r="CP229" s="2484"/>
      <c r="CQ229" s="2484"/>
      <c r="CR229" s="2484"/>
      <c r="CS229" s="2484"/>
      <c r="CT229" s="2484"/>
      <c r="CU229" s="2484"/>
      <c r="CV229" s="2484"/>
      <c r="CW229" s="2484"/>
      <c r="CX229" s="2484"/>
      <c r="CY229" s="2484"/>
      <c r="CZ229" s="2484"/>
      <c r="DA229" s="2484"/>
      <c r="DB229" s="2484"/>
      <c r="DC229" s="2484"/>
      <c r="DD229" s="2484"/>
      <c r="DE229" s="2484"/>
      <c r="DF229" s="2484"/>
      <c r="DG229" s="2484"/>
      <c r="DH229" s="2484"/>
      <c r="DI229" s="2484"/>
      <c r="DJ229" s="2484"/>
      <c r="DK229" s="2484"/>
      <c r="DL229" s="2484"/>
      <c r="DM229" s="2484"/>
      <c r="DN229" s="2484"/>
      <c r="DO229" s="2484"/>
      <c r="DP229" s="2484"/>
      <c r="DQ229" s="2484"/>
      <c r="DR229" s="2484"/>
      <c r="DS229" s="2484"/>
      <c r="DT229" s="2484"/>
      <c r="DU229" s="2484"/>
      <c r="DV229" s="2484"/>
      <c r="DW229" s="2484"/>
      <c r="DX229" s="2484"/>
      <c r="DY229" s="2484"/>
      <c r="DZ229" s="2484"/>
      <c r="EA229" s="2484"/>
      <c r="EB229" s="2484"/>
      <c r="EC229" s="2484"/>
      <c r="ED229" s="2484"/>
      <c r="EE229" s="2484"/>
      <c r="EF229" s="2484"/>
      <c r="EG229" s="2484"/>
      <c r="EH229" s="2484"/>
      <c r="EI229" s="2484"/>
      <c r="EJ229" s="2484"/>
      <c r="EK229" s="2484"/>
      <c r="EL229" s="2484"/>
      <c r="EM229" s="2484"/>
      <c r="EN229" s="2484"/>
      <c r="EO229" s="2484"/>
      <c r="EP229" s="2484"/>
      <c r="EQ229" s="2484"/>
      <c r="ER229" s="2484"/>
      <c r="ES229" s="2484"/>
      <c r="ET229" s="2484"/>
      <c r="EU229" s="2484"/>
      <c r="EV229" s="2484"/>
      <c r="EW229" s="2484"/>
      <c r="EX229" s="2484"/>
      <c r="EY229" s="2484"/>
      <c r="EZ229" s="2484"/>
      <c r="FA229" s="2484"/>
      <c r="FB229" s="2484"/>
      <c r="FC229" s="2484"/>
      <c r="FD229" s="2484"/>
      <c r="FE229" s="2484"/>
      <c r="FF229" s="2484"/>
      <c r="FG229" s="2484"/>
      <c r="FH229" s="2484"/>
      <c r="FI229" s="2484"/>
      <c r="FJ229" s="2484"/>
      <c r="FK229" s="2484"/>
      <c r="FL229" s="2484"/>
      <c r="FM229" s="2484"/>
      <c r="FN229" s="2484"/>
      <c r="FO229" s="2484"/>
      <c r="FP229" s="2484"/>
      <c r="FQ229" s="2484"/>
      <c r="FR229" s="2484"/>
      <c r="FS229" s="2484"/>
      <c r="FT229" s="2484"/>
      <c r="FU229" s="2484"/>
      <c r="FV229" s="2484"/>
      <c r="FW229" s="2484"/>
      <c r="FX229" s="2484"/>
      <c r="FY229" s="2484"/>
      <c r="FZ229" s="2484"/>
      <c r="GA229" s="2484"/>
      <c r="GB229" s="2484"/>
      <c r="GC229" s="2484"/>
      <c r="GD229" s="2484"/>
      <c r="GE229" s="2484"/>
      <c r="GF229" s="2484"/>
      <c r="GG229" s="2484"/>
      <c r="GH229" s="2484"/>
      <c r="GI229" s="2484"/>
      <c r="GJ229" s="2484"/>
      <c r="GK229" s="2484"/>
      <c r="GL229" s="2484"/>
      <c r="GM229" s="2484"/>
      <c r="GN229" s="2484"/>
      <c r="GO229" s="2484"/>
      <c r="GP229" s="2484"/>
      <c r="GQ229" s="2484"/>
      <c r="GR229" s="2484"/>
      <c r="GS229" s="2484"/>
      <c r="GT229" s="2484"/>
      <c r="GU229" s="2484"/>
      <c r="GV229" s="2484"/>
      <c r="GW229" s="2484"/>
      <c r="GX229" s="2484"/>
      <c r="GY229" s="2484"/>
      <c r="GZ229" s="2484"/>
      <c r="HA229" s="2484"/>
      <c r="HB229" s="2484"/>
      <c r="HC229" s="2484"/>
      <c r="HD229" s="2484"/>
      <c r="HE229" s="2484"/>
      <c r="HF229" s="2484"/>
      <c r="HG229" s="2484"/>
      <c r="HH229" s="2484"/>
      <c r="HI229" s="2484"/>
      <c r="HJ229" s="2484"/>
      <c r="HK229" s="2484"/>
      <c r="HL229" s="2484"/>
      <c r="HM229" s="2484"/>
      <c r="HN229" s="2484"/>
      <c r="HO229" s="2484"/>
      <c r="HP229" s="2484"/>
      <c r="HQ229" s="2484"/>
      <c r="HR229" s="2484"/>
    </row>
    <row r="230" spans="1:226" s="2485" customFormat="1" ht="15" hidden="1" customHeight="1">
      <c r="A230" s="3112"/>
      <c r="B230" s="3113"/>
      <c r="C230" s="3114"/>
      <c r="D230" s="3134"/>
      <c r="E230" s="2489"/>
      <c r="F230" s="2490">
        <f>SUM(G230:J230)</f>
        <v>0</v>
      </c>
      <c r="G230" s="2490"/>
      <c r="H230" s="2490"/>
      <c r="I230" s="2490"/>
      <c r="J230" s="2491"/>
      <c r="K230" s="2482"/>
    </row>
    <row r="231" spans="1:226" s="2485" customFormat="1" ht="15" hidden="1" customHeight="1">
      <c r="A231" s="3112"/>
      <c r="B231" s="3113"/>
      <c r="C231" s="3114"/>
      <c r="D231" s="3134"/>
      <c r="E231" s="2489"/>
      <c r="F231" s="2490">
        <f t="shared" ref="F231:F232" si="22">SUM(G231:J231)</f>
        <v>0</v>
      </c>
      <c r="G231" s="2490"/>
      <c r="H231" s="2490"/>
      <c r="I231" s="2490"/>
      <c r="J231" s="2491"/>
      <c r="K231" s="2482"/>
    </row>
    <row r="232" spans="1:226" s="2485" customFormat="1" ht="15" hidden="1" customHeight="1">
      <c r="A232" s="3112"/>
      <c r="B232" s="3113"/>
      <c r="C232" s="3114"/>
      <c r="D232" s="3134"/>
      <c r="E232" s="2489"/>
      <c r="F232" s="2490">
        <f t="shared" si="22"/>
        <v>0</v>
      </c>
      <c r="G232" s="2490"/>
      <c r="H232" s="2490"/>
      <c r="I232" s="2490"/>
      <c r="J232" s="2491"/>
      <c r="K232" s="2482"/>
    </row>
    <row r="233" spans="1:226" s="2485" customFormat="1" ht="15" customHeight="1">
      <c r="A233" s="3112"/>
      <c r="B233" s="3113"/>
      <c r="C233" s="3114"/>
      <c r="D233" s="3134"/>
      <c r="E233" s="2492" t="s">
        <v>1087</v>
      </c>
      <c r="F233" s="2487">
        <f>SUM(F234:F236)</f>
        <v>3521375</v>
      </c>
      <c r="G233" s="2487">
        <f>SUM(G234:G236)</f>
        <v>624256</v>
      </c>
      <c r="H233" s="2487">
        <f>SUM(H234:H236)</f>
        <v>2897119</v>
      </c>
      <c r="I233" s="2487">
        <f>SUM(I234:I236)</f>
        <v>0</v>
      </c>
      <c r="J233" s="2488">
        <f>SUM(J234:J236)</f>
        <v>0</v>
      </c>
      <c r="K233" s="2482"/>
    </row>
    <row r="234" spans="1:226" s="2485" customFormat="1" ht="15" customHeight="1">
      <c r="A234" s="3112"/>
      <c r="B234" s="3113"/>
      <c r="C234" s="3114"/>
      <c r="D234" s="3134"/>
      <c r="E234" s="2489" t="s">
        <v>582</v>
      </c>
      <c r="F234" s="2490">
        <f>SUM(G234:J234)</f>
        <v>110000</v>
      </c>
      <c r="G234" s="2490">
        <v>110000</v>
      </c>
      <c r="H234" s="2490"/>
      <c r="I234" s="2490"/>
      <c r="J234" s="2491"/>
      <c r="K234" s="2482"/>
    </row>
    <row r="235" spans="1:226" s="2485" customFormat="1" ht="15" customHeight="1">
      <c r="A235" s="3112"/>
      <c r="B235" s="3113"/>
      <c r="C235" s="3114"/>
      <c r="D235" s="3134"/>
      <c r="E235" s="2489" t="s">
        <v>676</v>
      </c>
      <c r="F235" s="2490">
        <f>SUM(G235:J235)</f>
        <v>2897119</v>
      </c>
      <c r="G235" s="2490"/>
      <c r="H235" s="2490">
        <v>2897119</v>
      </c>
      <c r="I235" s="2490"/>
      <c r="J235" s="2491"/>
      <c r="K235" s="2482"/>
    </row>
    <row r="236" spans="1:226" s="2485" customFormat="1" ht="15" customHeight="1">
      <c r="A236" s="3112"/>
      <c r="B236" s="3113"/>
      <c r="C236" s="3114"/>
      <c r="D236" s="3134"/>
      <c r="E236" s="2503">
        <v>6059</v>
      </c>
      <c r="F236" s="2490">
        <f>SUM(G236:J236)</f>
        <v>514256</v>
      </c>
      <c r="G236" s="2490">
        <v>514256</v>
      </c>
      <c r="H236" s="2490"/>
      <c r="I236" s="2490"/>
      <c r="J236" s="2491"/>
      <c r="K236" s="2482"/>
    </row>
    <row r="237" spans="1:226" s="2485" customFormat="1" ht="22.5">
      <c r="A237" s="3112" t="s">
        <v>1118</v>
      </c>
      <c r="B237" s="3113" t="s">
        <v>1119</v>
      </c>
      <c r="C237" s="3114">
        <v>750</v>
      </c>
      <c r="D237" s="3134" t="s">
        <v>759</v>
      </c>
      <c r="E237" s="2479" t="s">
        <v>1086</v>
      </c>
      <c r="F237" s="2480">
        <f>SUM(F238,F253)</f>
        <v>2000000</v>
      </c>
      <c r="G237" s="2480">
        <f>SUM(G238,G253)</f>
        <v>0</v>
      </c>
      <c r="H237" s="2480">
        <f>SUM(H238,H253)</f>
        <v>2000000</v>
      </c>
      <c r="I237" s="2480">
        <f>SUM(I238,I253)</f>
        <v>0</v>
      </c>
      <c r="J237" s="2481">
        <f>SUM(J238,J253)</f>
        <v>0</v>
      </c>
      <c r="K237" s="2482"/>
    </row>
    <row r="238" spans="1:226" s="2485" customFormat="1" ht="21">
      <c r="A238" s="3112"/>
      <c r="B238" s="3113"/>
      <c r="C238" s="3114"/>
      <c r="D238" s="3134"/>
      <c r="E238" s="2486" t="s">
        <v>1092</v>
      </c>
      <c r="F238" s="2487">
        <f>SUM(F239,F244)</f>
        <v>1900000</v>
      </c>
      <c r="G238" s="2487">
        <f>SUM(G239,G244)</f>
        <v>0</v>
      </c>
      <c r="H238" s="2487">
        <f>SUM(H239,H244)</f>
        <v>1900000</v>
      </c>
      <c r="I238" s="2487">
        <f>SUM(I239,I244)</f>
        <v>0</v>
      </c>
      <c r="J238" s="2488">
        <f>SUM(J239,J244)</f>
        <v>0</v>
      </c>
      <c r="K238" s="2482"/>
    </row>
    <row r="239" spans="1:226" s="2485" customFormat="1" ht="20.25" customHeight="1">
      <c r="A239" s="3112"/>
      <c r="B239" s="3113"/>
      <c r="C239" s="3114"/>
      <c r="D239" s="3134"/>
      <c r="E239" s="2497" t="s">
        <v>1093</v>
      </c>
      <c r="F239" s="2498">
        <f>SUM(F240:F243)</f>
        <v>559235</v>
      </c>
      <c r="G239" s="2498">
        <f>SUM(G240:G243)</f>
        <v>0</v>
      </c>
      <c r="H239" s="2498">
        <f>SUM(H240:H243)</f>
        <v>559235</v>
      </c>
      <c r="I239" s="2498">
        <f>SUM(I240:I243)</f>
        <v>0</v>
      </c>
      <c r="J239" s="2499">
        <f>SUM(J240:J243)</f>
        <v>0</v>
      </c>
      <c r="K239" s="2482"/>
    </row>
    <row r="240" spans="1:226" s="2485" customFormat="1" ht="15" customHeight="1">
      <c r="A240" s="3112"/>
      <c r="B240" s="3113"/>
      <c r="C240" s="3114"/>
      <c r="D240" s="3134"/>
      <c r="E240" s="2489" t="s">
        <v>647</v>
      </c>
      <c r="F240" s="2490">
        <f>SUM(G240:J240)</f>
        <v>450000</v>
      </c>
      <c r="G240" s="2490"/>
      <c r="H240" s="2490">
        <v>450000</v>
      </c>
      <c r="I240" s="2490"/>
      <c r="J240" s="2491"/>
      <c r="K240" s="2482"/>
    </row>
    <row r="241" spans="1:226" s="2485" customFormat="1" ht="15" customHeight="1">
      <c r="A241" s="3112"/>
      <c r="B241" s="3113"/>
      <c r="C241" s="3114"/>
      <c r="D241" s="3134"/>
      <c r="E241" s="2489" t="s">
        <v>649</v>
      </c>
      <c r="F241" s="2490">
        <f t="shared" ref="F241:F242" si="23">SUM(G241:J241)</f>
        <v>78210</v>
      </c>
      <c r="G241" s="2490"/>
      <c r="H241" s="2490">
        <v>78210</v>
      </c>
      <c r="I241" s="2490"/>
      <c r="J241" s="2491"/>
      <c r="K241" s="2482"/>
    </row>
    <row r="242" spans="1:226" s="2485" customFormat="1" ht="15" customHeight="1">
      <c r="A242" s="3112"/>
      <c r="B242" s="3113"/>
      <c r="C242" s="3114"/>
      <c r="D242" s="3134"/>
      <c r="E242" s="2489" t="s">
        <v>650</v>
      </c>
      <c r="F242" s="2490">
        <f t="shared" si="23"/>
        <v>11025</v>
      </c>
      <c r="G242" s="2490"/>
      <c r="H242" s="2490">
        <v>11025</v>
      </c>
      <c r="I242" s="2490"/>
      <c r="J242" s="2491"/>
      <c r="K242" s="2482"/>
    </row>
    <row r="243" spans="1:226" s="2485" customFormat="1" ht="15" customHeight="1">
      <c r="A243" s="3112"/>
      <c r="B243" s="3113"/>
      <c r="C243" s="3114"/>
      <c r="D243" s="3134"/>
      <c r="E243" s="2489" t="s">
        <v>726</v>
      </c>
      <c r="F243" s="2490">
        <f>SUM(G243:J243)</f>
        <v>20000</v>
      </c>
      <c r="G243" s="2490"/>
      <c r="H243" s="2490">
        <v>20000</v>
      </c>
      <c r="I243" s="2490"/>
      <c r="J243" s="2491"/>
      <c r="K243" s="2482"/>
    </row>
    <row r="244" spans="1:226" s="2485" customFormat="1" ht="21" customHeight="1">
      <c r="A244" s="3112"/>
      <c r="B244" s="3113"/>
      <c r="C244" s="3114"/>
      <c r="D244" s="3134"/>
      <c r="E244" s="2497" t="s">
        <v>1094</v>
      </c>
      <c r="F244" s="2498">
        <f>SUM(F245:F252)</f>
        <v>1340765</v>
      </c>
      <c r="G244" s="2498">
        <f>SUM(G245:G252)</f>
        <v>0</v>
      </c>
      <c r="H244" s="2498">
        <f>SUM(H245:H252)</f>
        <v>1340765</v>
      </c>
      <c r="I244" s="2498">
        <f>SUM(I245:I252)</f>
        <v>0</v>
      </c>
      <c r="J244" s="2499">
        <f>SUM(J245:J252)</f>
        <v>0</v>
      </c>
      <c r="K244" s="2482"/>
      <c r="L244" s="2484"/>
      <c r="M244" s="2484"/>
      <c r="N244" s="2484"/>
      <c r="O244" s="2484"/>
      <c r="P244" s="2484"/>
      <c r="Q244" s="2484"/>
      <c r="R244" s="2484"/>
      <c r="S244" s="2484"/>
      <c r="T244" s="2484"/>
      <c r="U244" s="2484"/>
      <c r="V244" s="2484"/>
      <c r="W244" s="2484"/>
      <c r="X244" s="2484"/>
      <c r="Y244" s="2484"/>
      <c r="Z244" s="2484"/>
      <c r="AA244" s="2484"/>
      <c r="AB244" s="2484"/>
      <c r="AC244" s="2484"/>
      <c r="AD244" s="2484"/>
      <c r="AE244" s="2484"/>
      <c r="AF244" s="2484"/>
      <c r="AG244" s="2484"/>
      <c r="AH244" s="2484"/>
      <c r="AI244" s="2484"/>
      <c r="AJ244" s="2484"/>
      <c r="AK244" s="2484"/>
      <c r="AL244" s="2484"/>
      <c r="AM244" s="2484"/>
      <c r="AN244" s="2484"/>
      <c r="AO244" s="2484"/>
      <c r="AP244" s="2484"/>
      <c r="AQ244" s="2484"/>
      <c r="AR244" s="2484"/>
      <c r="AS244" s="2484"/>
      <c r="AT244" s="2484"/>
      <c r="AU244" s="2484"/>
      <c r="AV244" s="2484"/>
      <c r="AW244" s="2484"/>
      <c r="AX244" s="2484"/>
      <c r="AY244" s="2484"/>
      <c r="AZ244" s="2484"/>
      <c r="BA244" s="2484"/>
      <c r="BB244" s="2484"/>
      <c r="BC244" s="2484"/>
      <c r="BD244" s="2484"/>
      <c r="BE244" s="2484"/>
      <c r="BF244" s="2484"/>
      <c r="BG244" s="2484"/>
      <c r="BH244" s="2484"/>
      <c r="BI244" s="2484"/>
      <c r="BJ244" s="2484"/>
      <c r="BK244" s="2484"/>
      <c r="BL244" s="2484"/>
      <c r="BM244" s="2484"/>
      <c r="BN244" s="2484"/>
      <c r="BO244" s="2484"/>
      <c r="BP244" s="2484"/>
      <c r="BQ244" s="2484"/>
      <c r="BR244" s="2484"/>
      <c r="BS244" s="2484"/>
      <c r="BT244" s="2484"/>
      <c r="BU244" s="2484"/>
      <c r="BV244" s="2484"/>
      <c r="BW244" s="2484"/>
      <c r="BX244" s="2484"/>
      <c r="BY244" s="2484"/>
      <c r="BZ244" s="2484"/>
      <c r="CA244" s="2484"/>
      <c r="CB244" s="2484"/>
      <c r="CC244" s="2484"/>
      <c r="CD244" s="2484"/>
      <c r="CE244" s="2484"/>
      <c r="CF244" s="2484"/>
      <c r="CG244" s="2484"/>
      <c r="CH244" s="2484"/>
      <c r="CI244" s="2484"/>
      <c r="CJ244" s="2484"/>
      <c r="CK244" s="2484"/>
      <c r="CL244" s="2484"/>
      <c r="CM244" s="2484"/>
      <c r="CN244" s="2484"/>
      <c r="CO244" s="2484"/>
      <c r="CP244" s="2484"/>
      <c r="CQ244" s="2484"/>
      <c r="CR244" s="2484"/>
      <c r="CS244" s="2484"/>
      <c r="CT244" s="2484"/>
      <c r="CU244" s="2484"/>
      <c r="CV244" s="2484"/>
      <c r="CW244" s="2484"/>
      <c r="CX244" s="2484"/>
      <c r="CY244" s="2484"/>
      <c r="CZ244" s="2484"/>
      <c r="DA244" s="2484"/>
      <c r="DB244" s="2484"/>
      <c r="DC244" s="2484"/>
      <c r="DD244" s="2484"/>
      <c r="DE244" s="2484"/>
      <c r="DF244" s="2484"/>
      <c r="DG244" s="2484"/>
      <c r="DH244" s="2484"/>
      <c r="DI244" s="2484"/>
      <c r="DJ244" s="2484"/>
      <c r="DK244" s="2484"/>
      <c r="DL244" s="2484"/>
      <c r="DM244" s="2484"/>
      <c r="DN244" s="2484"/>
      <c r="DO244" s="2484"/>
      <c r="DP244" s="2484"/>
      <c r="DQ244" s="2484"/>
      <c r="DR244" s="2484"/>
      <c r="DS244" s="2484"/>
      <c r="DT244" s="2484"/>
      <c r="DU244" s="2484"/>
      <c r="DV244" s="2484"/>
      <c r="DW244" s="2484"/>
      <c r="DX244" s="2484"/>
      <c r="DY244" s="2484"/>
      <c r="DZ244" s="2484"/>
      <c r="EA244" s="2484"/>
      <c r="EB244" s="2484"/>
      <c r="EC244" s="2484"/>
      <c r="ED244" s="2484"/>
      <c r="EE244" s="2484"/>
      <c r="EF244" s="2484"/>
      <c r="EG244" s="2484"/>
      <c r="EH244" s="2484"/>
      <c r="EI244" s="2484"/>
      <c r="EJ244" s="2484"/>
      <c r="EK244" s="2484"/>
      <c r="EL244" s="2484"/>
      <c r="EM244" s="2484"/>
      <c r="EN244" s="2484"/>
      <c r="EO244" s="2484"/>
      <c r="EP244" s="2484"/>
      <c r="EQ244" s="2484"/>
      <c r="ER244" s="2484"/>
      <c r="ES244" s="2484"/>
      <c r="ET244" s="2484"/>
      <c r="EU244" s="2484"/>
      <c r="EV244" s="2484"/>
      <c r="EW244" s="2484"/>
      <c r="EX244" s="2484"/>
      <c r="EY244" s="2484"/>
      <c r="EZ244" s="2484"/>
      <c r="FA244" s="2484"/>
      <c r="FB244" s="2484"/>
      <c r="FC244" s="2484"/>
      <c r="FD244" s="2484"/>
      <c r="FE244" s="2484"/>
      <c r="FF244" s="2484"/>
      <c r="FG244" s="2484"/>
      <c r="FH244" s="2484"/>
      <c r="FI244" s="2484"/>
      <c r="FJ244" s="2484"/>
      <c r="FK244" s="2484"/>
      <c r="FL244" s="2484"/>
      <c r="FM244" s="2484"/>
      <c r="FN244" s="2484"/>
      <c r="FO244" s="2484"/>
      <c r="FP244" s="2484"/>
      <c r="FQ244" s="2484"/>
      <c r="FR244" s="2484"/>
      <c r="FS244" s="2484"/>
      <c r="FT244" s="2484"/>
      <c r="FU244" s="2484"/>
      <c r="FV244" s="2484"/>
      <c r="FW244" s="2484"/>
      <c r="FX244" s="2484"/>
      <c r="FY244" s="2484"/>
      <c r="FZ244" s="2484"/>
      <c r="GA244" s="2484"/>
      <c r="GB244" s="2484"/>
      <c r="GC244" s="2484"/>
      <c r="GD244" s="2484"/>
      <c r="GE244" s="2484"/>
      <c r="GF244" s="2484"/>
      <c r="GG244" s="2484"/>
      <c r="GH244" s="2484"/>
      <c r="GI244" s="2484"/>
      <c r="GJ244" s="2484"/>
      <c r="GK244" s="2484"/>
      <c r="GL244" s="2484"/>
      <c r="GM244" s="2484"/>
      <c r="GN244" s="2484"/>
      <c r="GO244" s="2484"/>
      <c r="GP244" s="2484"/>
      <c r="GQ244" s="2484"/>
      <c r="GR244" s="2484"/>
      <c r="GS244" s="2484"/>
      <c r="GT244" s="2484"/>
      <c r="GU244" s="2484"/>
      <c r="GV244" s="2484"/>
      <c r="GW244" s="2484"/>
      <c r="GX244" s="2484"/>
      <c r="GY244" s="2484"/>
      <c r="GZ244" s="2484"/>
      <c r="HA244" s="2484"/>
      <c r="HB244" s="2484"/>
      <c r="HC244" s="2484"/>
      <c r="HD244" s="2484"/>
      <c r="HE244" s="2484"/>
      <c r="HF244" s="2484"/>
      <c r="HG244" s="2484"/>
      <c r="HH244" s="2484"/>
      <c r="HI244" s="2484"/>
      <c r="HJ244" s="2484"/>
      <c r="HK244" s="2484"/>
      <c r="HL244" s="2484"/>
      <c r="HM244" s="2484"/>
      <c r="HN244" s="2484"/>
      <c r="HO244" s="2484"/>
      <c r="HP244" s="2484"/>
      <c r="HQ244" s="2484"/>
      <c r="HR244" s="2484"/>
    </row>
    <row r="245" spans="1:226" s="2485" customFormat="1" ht="15" customHeight="1">
      <c r="A245" s="3112"/>
      <c r="B245" s="3113"/>
      <c r="C245" s="3114"/>
      <c r="D245" s="3134"/>
      <c r="E245" s="2489" t="s">
        <v>651</v>
      </c>
      <c r="F245" s="2490">
        <f>SUM(G245:J245)</f>
        <v>200000</v>
      </c>
      <c r="G245" s="2490"/>
      <c r="H245" s="2490">
        <v>200000</v>
      </c>
      <c r="I245" s="2490"/>
      <c r="J245" s="2491"/>
      <c r="K245" s="2482"/>
    </row>
    <row r="246" spans="1:226" s="2485" customFormat="1" ht="15" customHeight="1">
      <c r="A246" s="3112"/>
      <c r="B246" s="3113"/>
      <c r="C246" s="3114"/>
      <c r="D246" s="3134"/>
      <c r="E246" s="2489" t="s">
        <v>652</v>
      </c>
      <c r="F246" s="2490">
        <f t="shared" ref="F246:F252" si="24">SUM(G246:J246)</f>
        <v>992765</v>
      </c>
      <c r="G246" s="2490"/>
      <c r="H246" s="2490">
        <v>992765</v>
      </c>
      <c r="I246" s="2490"/>
      <c r="J246" s="2491"/>
      <c r="K246" s="2482"/>
    </row>
    <row r="247" spans="1:226" s="2485" customFormat="1" ht="15" customHeight="1">
      <c r="A247" s="3112"/>
      <c r="B247" s="3113"/>
      <c r="C247" s="3114"/>
      <c r="D247" s="3134"/>
      <c r="E247" s="2489" t="s">
        <v>727</v>
      </c>
      <c r="F247" s="2490">
        <f t="shared" si="24"/>
        <v>20000</v>
      </c>
      <c r="G247" s="2490"/>
      <c r="H247" s="2490">
        <v>20000</v>
      </c>
      <c r="I247" s="2490"/>
      <c r="J247" s="2491"/>
      <c r="K247" s="2482"/>
    </row>
    <row r="248" spans="1:226" s="2485" customFormat="1" ht="15" customHeight="1">
      <c r="A248" s="3112"/>
      <c r="B248" s="3113"/>
      <c r="C248" s="3114"/>
      <c r="D248" s="3134"/>
      <c r="E248" s="2489" t="s">
        <v>729</v>
      </c>
      <c r="F248" s="2490">
        <f t="shared" si="24"/>
        <v>20000</v>
      </c>
      <c r="G248" s="2490"/>
      <c r="H248" s="2490">
        <v>20000</v>
      </c>
      <c r="I248" s="2490"/>
      <c r="J248" s="2491"/>
      <c r="K248" s="2482"/>
    </row>
    <row r="249" spans="1:226" s="2485" customFormat="1" ht="15" customHeight="1">
      <c r="A249" s="3112"/>
      <c r="B249" s="3113"/>
      <c r="C249" s="3114"/>
      <c r="D249" s="3134"/>
      <c r="E249" s="2489" t="s">
        <v>653</v>
      </c>
      <c r="F249" s="2490">
        <f t="shared" si="24"/>
        <v>8000</v>
      </c>
      <c r="G249" s="2490"/>
      <c r="H249" s="2490">
        <v>8000</v>
      </c>
      <c r="I249" s="2490"/>
      <c r="J249" s="2491"/>
      <c r="K249" s="2482"/>
    </row>
    <row r="250" spans="1:226" s="2485" customFormat="1" ht="15" customHeight="1">
      <c r="A250" s="3112"/>
      <c r="B250" s="3113"/>
      <c r="C250" s="3114"/>
      <c r="D250" s="3134"/>
      <c r="E250" s="2489" t="s">
        <v>730</v>
      </c>
      <c r="F250" s="2490">
        <f t="shared" si="24"/>
        <v>70000</v>
      </c>
      <c r="G250" s="2490"/>
      <c r="H250" s="2490">
        <v>70000</v>
      </c>
      <c r="I250" s="2490"/>
      <c r="J250" s="2491"/>
      <c r="K250" s="2482"/>
    </row>
    <row r="251" spans="1:226" s="2485" customFormat="1" ht="15" customHeight="1">
      <c r="A251" s="3112"/>
      <c r="B251" s="3113"/>
      <c r="C251" s="3114"/>
      <c r="D251" s="3134"/>
      <c r="E251" s="2489" t="s">
        <v>654</v>
      </c>
      <c r="F251" s="2490">
        <f t="shared" si="24"/>
        <v>30000</v>
      </c>
      <c r="G251" s="2490"/>
      <c r="H251" s="2490">
        <v>30000</v>
      </c>
      <c r="I251" s="2490"/>
      <c r="J251" s="2491"/>
      <c r="K251" s="2482"/>
    </row>
    <row r="252" spans="1:226" s="2485" customFormat="1" ht="15" hidden="1" customHeight="1">
      <c r="A252" s="3112"/>
      <c r="B252" s="3113"/>
      <c r="C252" s="3114"/>
      <c r="D252" s="3134"/>
      <c r="E252" s="2489" t="s">
        <v>646</v>
      </c>
      <c r="F252" s="2490">
        <f t="shared" si="24"/>
        <v>0</v>
      </c>
      <c r="G252" s="2490"/>
      <c r="H252" s="2490"/>
      <c r="I252" s="2490"/>
      <c r="J252" s="2491"/>
      <c r="K252" s="2482"/>
    </row>
    <row r="253" spans="1:226" s="2485" customFormat="1" ht="15" customHeight="1">
      <c r="A253" s="3112"/>
      <c r="B253" s="3113"/>
      <c r="C253" s="3114"/>
      <c r="D253" s="3134"/>
      <c r="E253" s="2492" t="s">
        <v>1087</v>
      </c>
      <c r="F253" s="2487">
        <f>SUM(F254:F255)</f>
        <v>100000</v>
      </c>
      <c r="G253" s="2487">
        <f>SUM(G254:G255)</f>
        <v>0</v>
      </c>
      <c r="H253" s="2487">
        <f>SUM(H254:H255)</f>
        <v>100000</v>
      </c>
      <c r="I253" s="2487">
        <f>SUM(I254:I255)</f>
        <v>0</v>
      </c>
      <c r="J253" s="2488">
        <f>SUM(J254:J255)</f>
        <v>0</v>
      </c>
      <c r="K253" s="2482"/>
    </row>
    <row r="254" spans="1:226" s="2485" customFormat="1" ht="15" hidden="1" customHeight="1">
      <c r="A254" s="3112"/>
      <c r="B254" s="3113"/>
      <c r="C254" s="3114"/>
      <c r="D254" s="3134"/>
      <c r="E254" s="2489" t="s">
        <v>663</v>
      </c>
      <c r="F254" s="2490">
        <f>SUM(G254:J254)</f>
        <v>0</v>
      </c>
      <c r="G254" s="2490"/>
      <c r="H254" s="2490"/>
      <c r="I254" s="2490"/>
      <c r="J254" s="2491"/>
      <c r="K254" s="2482"/>
    </row>
    <row r="255" spans="1:226" s="2485" customFormat="1" ht="15" customHeight="1">
      <c r="A255" s="3112"/>
      <c r="B255" s="3113"/>
      <c r="C255" s="3114"/>
      <c r="D255" s="3134"/>
      <c r="E255" s="2503">
        <v>6067</v>
      </c>
      <c r="F255" s="2490">
        <f>SUM(G255:J255)</f>
        <v>100000</v>
      </c>
      <c r="G255" s="2490"/>
      <c r="H255" s="2490">
        <v>100000</v>
      </c>
      <c r="I255" s="2490"/>
      <c r="J255" s="2491"/>
      <c r="K255" s="2482"/>
    </row>
    <row r="256" spans="1:226" s="2485" customFormat="1" ht="22.5">
      <c r="A256" s="3112" t="s">
        <v>1120</v>
      </c>
      <c r="B256" s="3113" t="s">
        <v>1121</v>
      </c>
      <c r="C256" s="3114">
        <v>854</v>
      </c>
      <c r="D256" s="3134" t="s">
        <v>921</v>
      </c>
      <c r="E256" s="2479" t="s">
        <v>1086</v>
      </c>
      <c r="F256" s="2480">
        <f>SUM(F257,F276)</f>
        <v>960000</v>
      </c>
      <c r="G256" s="2480">
        <f>SUM(G257,G276)</f>
        <v>48000</v>
      </c>
      <c r="H256" s="2480">
        <f>SUM(H257,H276)</f>
        <v>816000</v>
      </c>
      <c r="I256" s="2480">
        <f>SUM(I257,I276)</f>
        <v>96000</v>
      </c>
      <c r="J256" s="2481">
        <f>SUM(J257,J276)</f>
        <v>0</v>
      </c>
      <c r="K256" s="2482"/>
    </row>
    <row r="257" spans="1:226" s="2485" customFormat="1" ht="21">
      <c r="A257" s="3112"/>
      <c r="B257" s="3113"/>
      <c r="C257" s="3114"/>
      <c r="D257" s="3134"/>
      <c r="E257" s="2486" t="s">
        <v>1092</v>
      </c>
      <c r="F257" s="2487">
        <f>SUM(F258,F265)</f>
        <v>960000</v>
      </c>
      <c r="G257" s="2487">
        <f>SUM(G258,G265)</f>
        <v>48000</v>
      </c>
      <c r="H257" s="2487">
        <f>SUM(H258,H265)</f>
        <v>816000</v>
      </c>
      <c r="I257" s="2487">
        <f>SUM(I258,I265)</f>
        <v>96000</v>
      </c>
      <c r="J257" s="2488">
        <f>SUM(J258,J265)</f>
        <v>0</v>
      </c>
      <c r="K257" s="2482"/>
    </row>
    <row r="258" spans="1:226" s="2485" customFormat="1" ht="21" customHeight="1">
      <c r="A258" s="3112"/>
      <c r="B258" s="3113"/>
      <c r="C258" s="3114"/>
      <c r="D258" s="3134"/>
      <c r="E258" s="2497" t="s">
        <v>1093</v>
      </c>
      <c r="F258" s="2498">
        <f>SUM(F259:F264)</f>
        <v>144000</v>
      </c>
      <c r="G258" s="2498">
        <f>SUM(G259:G264)</f>
        <v>7200</v>
      </c>
      <c r="H258" s="2498">
        <f>SUM(H259:H264)</f>
        <v>122400</v>
      </c>
      <c r="I258" s="2498">
        <f>SUM(I259:I264)</f>
        <v>14400</v>
      </c>
      <c r="J258" s="2499">
        <f>SUM(J259:J264)</f>
        <v>0</v>
      </c>
      <c r="K258" s="2482"/>
    </row>
    <row r="259" spans="1:226" s="2485" customFormat="1" ht="15" customHeight="1">
      <c r="A259" s="3112"/>
      <c r="B259" s="3113"/>
      <c r="C259" s="3114"/>
      <c r="D259" s="3134"/>
      <c r="E259" s="2489" t="s">
        <v>647</v>
      </c>
      <c r="F259" s="2490">
        <f>SUM(G259:J259)</f>
        <v>102145</v>
      </c>
      <c r="G259" s="2490"/>
      <c r="H259" s="2490">
        <v>102145</v>
      </c>
      <c r="I259" s="2490"/>
      <c r="J259" s="2491"/>
      <c r="K259" s="2482"/>
    </row>
    <row r="260" spans="1:226" s="2485" customFormat="1" ht="15" customHeight="1">
      <c r="A260" s="3112"/>
      <c r="B260" s="3113"/>
      <c r="C260" s="3114"/>
      <c r="D260" s="3134"/>
      <c r="E260" s="2489" t="s">
        <v>592</v>
      </c>
      <c r="F260" s="2490">
        <f t="shared" ref="F260:F262" si="25">SUM(G260:J260)</f>
        <v>18026</v>
      </c>
      <c r="G260" s="2490">
        <v>6009</v>
      </c>
      <c r="H260" s="2490"/>
      <c r="I260" s="2490">
        <v>12017</v>
      </c>
      <c r="J260" s="2491"/>
      <c r="K260" s="2482"/>
    </row>
    <row r="261" spans="1:226" s="2485" customFormat="1" ht="15" customHeight="1">
      <c r="A261" s="3112"/>
      <c r="B261" s="3113"/>
      <c r="C261" s="3114"/>
      <c r="D261" s="3134"/>
      <c r="E261" s="2489" t="s">
        <v>649</v>
      </c>
      <c r="F261" s="2490">
        <f t="shared" si="25"/>
        <v>17753</v>
      </c>
      <c r="G261" s="2490"/>
      <c r="H261" s="2490">
        <v>17753</v>
      </c>
      <c r="I261" s="2490"/>
      <c r="J261" s="2491"/>
      <c r="K261" s="2482"/>
    </row>
    <row r="262" spans="1:226" s="2485" customFormat="1" ht="15" customHeight="1">
      <c r="A262" s="3112"/>
      <c r="B262" s="3113"/>
      <c r="C262" s="3114"/>
      <c r="D262" s="3134"/>
      <c r="E262" s="2489" t="s">
        <v>596</v>
      </c>
      <c r="F262" s="2490">
        <f t="shared" si="25"/>
        <v>3133</v>
      </c>
      <c r="G262" s="2490">
        <v>1044</v>
      </c>
      <c r="H262" s="2490"/>
      <c r="I262" s="2490">
        <v>2089</v>
      </c>
      <c r="J262" s="2491"/>
      <c r="K262" s="2482"/>
    </row>
    <row r="263" spans="1:226" s="2485" customFormat="1" ht="15" customHeight="1">
      <c r="A263" s="3112"/>
      <c r="B263" s="3113"/>
      <c r="C263" s="3114"/>
      <c r="D263" s="3134"/>
      <c r="E263" s="2489" t="s">
        <v>650</v>
      </c>
      <c r="F263" s="2490">
        <f>SUM(G263:J263)</f>
        <v>2502</v>
      </c>
      <c r="G263" s="2490"/>
      <c r="H263" s="2490">
        <v>2502</v>
      </c>
      <c r="I263" s="2490"/>
      <c r="J263" s="2491"/>
      <c r="K263" s="2482"/>
    </row>
    <row r="264" spans="1:226" s="2485" customFormat="1" ht="15" customHeight="1">
      <c r="A264" s="3112"/>
      <c r="B264" s="3113"/>
      <c r="C264" s="3114"/>
      <c r="D264" s="3134"/>
      <c r="E264" s="2489" t="s">
        <v>598</v>
      </c>
      <c r="F264" s="2490">
        <f>SUM(G264:J264)</f>
        <v>441</v>
      </c>
      <c r="G264" s="2490">
        <v>147</v>
      </c>
      <c r="H264" s="2490"/>
      <c r="I264" s="2490">
        <v>294</v>
      </c>
      <c r="J264" s="2491"/>
      <c r="K264" s="2482"/>
    </row>
    <row r="265" spans="1:226" s="2485" customFormat="1" ht="21" customHeight="1">
      <c r="A265" s="3112"/>
      <c r="B265" s="3113"/>
      <c r="C265" s="3114"/>
      <c r="D265" s="3134"/>
      <c r="E265" s="2497" t="s">
        <v>1094</v>
      </c>
      <c r="F265" s="2498">
        <f>SUM(F266:F275)</f>
        <v>816000</v>
      </c>
      <c r="G265" s="2498">
        <f>SUM(G266:G275)</f>
        <v>40800</v>
      </c>
      <c r="H265" s="2498">
        <f>SUM(H266:H275)</f>
        <v>693600</v>
      </c>
      <c r="I265" s="2498">
        <f>SUM(I266:I275)</f>
        <v>81600</v>
      </c>
      <c r="J265" s="2499">
        <f>SUM(J266:J275)</f>
        <v>0</v>
      </c>
      <c r="K265" s="2482"/>
      <c r="L265" s="2484"/>
      <c r="M265" s="2484"/>
      <c r="N265" s="2484"/>
      <c r="O265" s="2484"/>
      <c r="P265" s="2484"/>
      <c r="Q265" s="2484"/>
      <c r="R265" s="2484"/>
      <c r="S265" s="2484"/>
      <c r="T265" s="2484"/>
      <c r="U265" s="2484"/>
      <c r="V265" s="2484"/>
      <c r="W265" s="2484"/>
      <c r="X265" s="2484"/>
      <c r="Y265" s="2484"/>
      <c r="Z265" s="2484"/>
      <c r="AA265" s="2484"/>
      <c r="AB265" s="2484"/>
      <c r="AC265" s="2484"/>
      <c r="AD265" s="2484"/>
      <c r="AE265" s="2484"/>
      <c r="AF265" s="2484"/>
      <c r="AG265" s="2484"/>
      <c r="AH265" s="2484"/>
      <c r="AI265" s="2484"/>
      <c r="AJ265" s="2484"/>
      <c r="AK265" s="2484"/>
      <c r="AL265" s="2484"/>
      <c r="AM265" s="2484"/>
      <c r="AN265" s="2484"/>
      <c r="AO265" s="2484"/>
      <c r="AP265" s="2484"/>
      <c r="AQ265" s="2484"/>
      <c r="AR265" s="2484"/>
      <c r="AS265" s="2484"/>
      <c r="AT265" s="2484"/>
      <c r="AU265" s="2484"/>
      <c r="AV265" s="2484"/>
      <c r="AW265" s="2484"/>
      <c r="AX265" s="2484"/>
      <c r="AY265" s="2484"/>
      <c r="AZ265" s="2484"/>
      <c r="BA265" s="2484"/>
      <c r="BB265" s="2484"/>
      <c r="BC265" s="2484"/>
      <c r="BD265" s="2484"/>
      <c r="BE265" s="2484"/>
      <c r="BF265" s="2484"/>
      <c r="BG265" s="2484"/>
      <c r="BH265" s="2484"/>
      <c r="BI265" s="2484"/>
      <c r="BJ265" s="2484"/>
      <c r="BK265" s="2484"/>
      <c r="BL265" s="2484"/>
      <c r="BM265" s="2484"/>
      <c r="BN265" s="2484"/>
      <c r="BO265" s="2484"/>
      <c r="BP265" s="2484"/>
      <c r="BQ265" s="2484"/>
      <c r="BR265" s="2484"/>
      <c r="BS265" s="2484"/>
      <c r="BT265" s="2484"/>
      <c r="BU265" s="2484"/>
      <c r="BV265" s="2484"/>
      <c r="BW265" s="2484"/>
      <c r="BX265" s="2484"/>
      <c r="BY265" s="2484"/>
      <c r="BZ265" s="2484"/>
      <c r="CA265" s="2484"/>
      <c r="CB265" s="2484"/>
      <c r="CC265" s="2484"/>
      <c r="CD265" s="2484"/>
      <c r="CE265" s="2484"/>
      <c r="CF265" s="2484"/>
      <c r="CG265" s="2484"/>
      <c r="CH265" s="2484"/>
      <c r="CI265" s="2484"/>
      <c r="CJ265" s="2484"/>
      <c r="CK265" s="2484"/>
      <c r="CL265" s="2484"/>
      <c r="CM265" s="2484"/>
      <c r="CN265" s="2484"/>
      <c r="CO265" s="2484"/>
      <c r="CP265" s="2484"/>
      <c r="CQ265" s="2484"/>
      <c r="CR265" s="2484"/>
      <c r="CS265" s="2484"/>
      <c r="CT265" s="2484"/>
      <c r="CU265" s="2484"/>
      <c r="CV265" s="2484"/>
      <c r="CW265" s="2484"/>
      <c r="CX265" s="2484"/>
      <c r="CY265" s="2484"/>
      <c r="CZ265" s="2484"/>
      <c r="DA265" s="2484"/>
      <c r="DB265" s="2484"/>
      <c r="DC265" s="2484"/>
      <c r="DD265" s="2484"/>
      <c r="DE265" s="2484"/>
      <c r="DF265" s="2484"/>
      <c r="DG265" s="2484"/>
      <c r="DH265" s="2484"/>
      <c r="DI265" s="2484"/>
      <c r="DJ265" s="2484"/>
      <c r="DK265" s="2484"/>
      <c r="DL265" s="2484"/>
      <c r="DM265" s="2484"/>
      <c r="DN265" s="2484"/>
      <c r="DO265" s="2484"/>
      <c r="DP265" s="2484"/>
      <c r="DQ265" s="2484"/>
      <c r="DR265" s="2484"/>
      <c r="DS265" s="2484"/>
      <c r="DT265" s="2484"/>
      <c r="DU265" s="2484"/>
      <c r="DV265" s="2484"/>
      <c r="DW265" s="2484"/>
      <c r="DX265" s="2484"/>
      <c r="DY265" s="2484"/>
      <c r="DZ265" s="2484"/>
      <c r="EA265" s="2484"/>
      <c r="EB265" s="2484"/>
      <c r="EC265" s="2484"/>
      <c r="ED265" s="2484"/>
      <c r="EE265" s="2484"/>
      <c r="EF265" s="2484"/>
      <c r="EG265" s="2484"/>
      <c r="EH265" s="2484"/>
      <c r="EI265" s="2484"/>
      <c r="EJ265" s="2484"/>
      <c r="EK265" s="2484"/>
      <c r="EL265" s="2484"/>
      <c r="EM265" s="2484"/>
      <c r="EN265" s="2484"/>
      <c r="EO265" s="2484"/>
      <c r="EP265" s="2484"/>
      <c r="EQ265" s="2484"/>
      <c r="ER265" s="2484"/>
      <c r="ES265" s="2484"/>
      <c r="ET265" s="2484"/>
      <c r="EU265" s="2484"/>
      <c r="EV265" s="2484"/>
      <c r="EW265" s="2484"/>
      <c r="EX265" s="2484"/>
      <c r="EY265" s="2484"/>
      <c r="EZ265" s="2484"/>
      <c r="FA265" s="2484"/>
      <c r="FB265" s="2484"/>
      <c r="FC265" s="2484"/>
      <c r="FD265" s="2484"/>
      <c r="FE265" s="2484"/>
      <c r="FF265" s="2484"/>
      <c r="FG265" s="2484"/>
      <c r="FH265" s="2484"/>
      <c r="FI265" s="2484"/>
      <c r="FJ265" s="2484"/>
      <c r="FK265" s="2484"/>
      <c r="FL265" s="2484"/>
      <c r="FM265" s="2484"/>
      <c r="FN265" s="2484"/>
      <c r="FO265" s="2484"/>
      <c r="FP265" s="2484"/>
      <c r="FQ265" s="2484"/>
      <c r="FR265" s="2484"/>
      <c r="FS265" s="2484"/>
      <c r="FT265" s="2484"/>
      <c r="FU265" s="2484"/>
      <c r="FV265" s="2484"/>
      <c r="FW265" s="2484"/>
      <c r="FX265" s="2484"/>
      <c r="FY265" s="2484"/>
      <c r="FZ265" s="2484"/>
      <c r="GA265" s="2484"/>
      <c r="GB265" s="2484"/>
      <c r="GC265" s="2484"/>
      <c r="GD265" s="2484"/>
      <c r="GE265" s="2484"/>
      <c r="GF265" s="2484"/>
      <c r="GG265" s="2484"/>
      <c r="GH265" s="2484"/>
      <c r="GI265" s="2484"/>
      <c r="GJ265" s="2484"/>
      <c r="GK265" s="2484"/>
      <c r="GL265" s="2484"/>
      <c r="GM265" s="2484"/>
      <c r="GN265" s="2484"/>
      <c r="GO265" s="2484"/>
      <c r="GP265" s="2484"/>
      <c r="GQ265" s="2484"/>
      <c r="GR265" s="2484"/>
      <c r="GS265" s="2484"/>
      <c r="GT265" s="2484"/>
      <c r="GU265" s="2484"/>
      <c r="GV265" s="2484"/>
      <c r="GW265" s="2484"/>
      <c r="GX265" s="2484"/>
      <c r="GY265" s="2484"/>
      <c r="GZ265" s="2484"/>
      <c r="HA265" s="2484"/>
      <c r="HB265" s="2484"/>
      <c r="HC265" s="2484"/>
      <c r="HD265" s="2484"/>
      <c r="HE265" s="2484"/>
      <c r="HF265" s="2484"/>
      <c r="HG265" s="2484"/>
      <c r="HH265" s="2484"/>
      <c r="HI265" s="2484"/>
      <c r="HJ265" s="2484"/>
      <c r="HK265" s="2484"/>
      <c r="HL265" s="2484"/>
      <c r="HM265" s="2484"/>
      <c r="HN265" s="2484"/>
      <c r="HO265" s="2484"/>
      <c r="HP265" s="2484"/>
      <c r="HQ265" s="2484"/>
      <c r="HR265" s="2484"/>
    </row>
    <row r="266" spans="1:226" s="2485" customFormat="1" ht="15" customHeight="1">
      <c r="A266" s="3112"/>
      <c r="B266" s="3113"/>
      <c r="C266" s="3114"/>
      <c r="D266" s="3134"/>
      <c r="E266" s="2489" t="s">
        <v>833</v>
      </c>
      <c r="F266" s="2490">
        <f>SUM(G266:J266)</f>
        <v>680000</v>
      </c>
      <c r="G266" s="2490"/>
      <c r="H266" s="2490">
        <v>680000</v>
      </c>
      <c r="I266" s="2490"/>
      <c r="J266" s="2491"/>
      <c r="K266" s="2482"/>
    </row>
    <row r="267" spans="1:226" s="2485" customFormat="1" ht="15" customHeight="1">
      <c r="A267" s="3112"/>
      <c r="B267" s="3113"/>
      <c r="C267" s="3114"/>
      <c r="D267" s="3134"/>
      <c r="E267" s="2489" t="s">
        <v>834</v>
      </c>
      <c r="F267" s="2490">
        <f t="shared" ref="F267:F274" si="26">SUM(G267:J267)</f>
        <v>120000</v>
      </c>
      <c r="G267" s="2490">
        <v>40000</v>
      </c>
      <c r="H267" s="2490"/>
      <c r="I267" s="2490">
        <v>80000</v>
      </c>
      <c r="J267" s="2491"/>
      <c r="K267" s="2482"/>
    </row>
    <row r="268" spans="1:226" s="2485" customFormat="1" ht="15" customHeight="1">
      <c r="A268" s="3112"/>
      <c r="B268" s="3113"/>
      <c r="C268" s="3114"/>
      <c r="D268" s="3134"/>
      <c r="E268" s="2489" t="s">
        <v>651</v>
      </c>
      <c r="F268" s="2490">
        <f t="shared" si="26"/>
        <v>8160</v>
      </c>
      <c r="G268" s="2490"/>
      <c r="H268" s="2490">
        <v>8160</v>
      </c>
      <c r="I268" s="2490"/>
      <c r="J268" s="2491"/>
      <c r="K268" s="2482"/>
    </row>
    <row r="269" spans="1:226" s="2485" customFormat="1" ht="15" customHeight="1">
      <c r="A269" s="3112"/>
      <c r="B269" s="3113"/>
      <c r="C269" s="3114"/>
      <c r="D269" s="3134"/>
      <c r="E269" s="2489" t="s">
        <v>605</v>
      </c>
      <c r="F269" s="2490">
        <f t="shared" si="26"/>
        <v>1440</v>
      </c>
      <c r="G269" s="2490">
        <v>480</v>
      </c>
      <c r="H269" s="2490"/>
      <c r="I269" s="2490">
        <v>960</v>
      </c>
      <c r="J269" s="2491"/>
      <c r="K269" s="2482"/>
    </row>
    <row r="270" spans="1:226" s="2485" customFormat="1" ht="15" customHeight="1">
      <c r="A270" s="3112"/>
      <c r="B270" s="3113"/>
      <c r="C270" s="3114"/>
      <c r="D270" s="3134"/>
      <c r="E270" s="2489" t="s">
        <v>841</v>
      </c>
      <c r="F270" s="2490">
        <f t="shared" si="26"/>
        <v>2720</v>
      </c>
      <c r="G270" s="2490"/>
      <c r="H270" s="2490">
        <v>2720</v>
      </c>
      <c r="I270" s="2490"/>
      <c r="J270" s="2491"/>
      <c r="K270" s="2482"/>
    </row>
    <row r="271" spans="1:226" s="2485" customFormat="1" ht="15" customHeight="1">
      <c r="A271" s="3112"/>
      <c r="B271" s="3113"/>
      <c r="C271" s="3114"/>
      <c r="D271" s="3134"/>
      <c r="E271" s="2489" t="s">
        <v>747</v>
      </c>
      <c r="F271" s="2490">
        <f t="shared" si="26"/>
        <v>480</v>
      </c>
      <c r="G271" s="2490">
        <v>160</v>
      </c>
      <c r="H271" s="2490"/>
      <c r="I271" s="2490">
        <v>320</v>
      </c>
      <c r="J271" s="2491"/>
      <c r="K271" s="2482"/>
    </row>
    <row r="272" spans="1:226" s="2485" customFormat="1" ht="15" customHeight="1">
      <c r="A272" s="3112"/>
      <c r="B272" s="3113"/>
      <c r="C272" s="3114"/>
      <c r="D272" s="3134"/>
      <c r="E272" s="2489" t="s">
        <v>652</v>
      </c>
      <c r="F272" s="2490">
        <f t="shared" si="26"/>
        <v>1360</v>
      </c>
      <c r="G272" s="2490"/>
      <c r="H272" s="2490">
        <v>1360</v>
      </c>
      <c r="I272" s="2490"/>
      <c r="J272" s="2491"/>
      <c r="K272" s="2482"/>
    </row>
    <row r="273" spans="1:226" s="2485" customFormat="1" ht="15" customHeight="1">
      <c r="A273" s="3112"/>
      <c r="B273" s="3113"/>
      <c r="C273" s="3114"/>
      <c r="D273" s="3134"/>
      <c r="E273" s="2489" t="s">
        <v>609</v>
      </c>
      <c r="F273" s="2490">
        <f t="shared" si="26"/>
        <v>240</v>
      </c>
      <c r="G273" s="2490">
        <v>80</v>
      </c>
      <c r="H273" s="2490"/>
      <c r="I273" s="2490">
        <v>160</v>
      </c>
      <c r="J273" s="2491"/>
      <c r="K273" s="2482"/>
    </row>
    <row r="274" spans="1:226" s="2485" customFormat="1" ht="15" customHeight="1">
      <c r="A274" s="3112"/>
      <c r="B274" s="3113"/>
      <c r="C274" s="3114"/>
      <c r="D274" s="3134"/>
      <c r="E274" s="2489" t="s">
        <v>845</v>
      </c>
      <c r="F274" s="2490">
        <f t="shared" si="26"/>
        <v>1360</v>
      </c>
      <c r="G274" s="2490"/>
      <c r="H274" s="2490">
        <v>1360</v>
      </c>
      <c r="I274" s="2490"/>
      <c r="J274" s="2491"/>
      <c r="K274" s="2482"/>
    </row>
    <row r="275" spans="1:226" s="2485" customFormat="1" ht="15" customHeight="1">
      <c r="A275" s="3112"/>
      <c r="B275" s="3113"/>
      <c r="C275" s="3114"/>
      <c r="D275" s="3134"/>
      <c r="E275" s="2489" t="s">
        <v>774</v>
      </c>
      <c r="F275" s="2490">
        <f>SUM(G275:J275)</f>
        <v>240</v>
      </c>
      <c r="G275" s="2490">
        <v>80</v>
      </c>
      <c r="H275" s="2490"/>
      <c r="I275" s="2490">
        <v>160</v>
      </c>
      <c r="J275" s="2491"/>
      <c r="K275" s="2482"/>
    </row>
    <row r="276" spans="1:226" s="2485" customFormat="1" ht="15" customHeight="1">
      <c r="A276" s="3112"/>
      <c r="B276" s="3113"/>
      <c r="C276" s="3114"/>
      <c r="D276" s="3134"/>
      <c r="E276" s="2492" t="s">
        <v>1087</v>
      </c>
      <c r="F276" s="2487">
        <f>SUM(F277:F278)</f>
        <v>0</v>
      </c>
      <c r="G276" s="2487">
        <f>SUM(G277:G278)</f>
        <v>0</v>
      </c>
      <c r="H276" s="2487">
        <f>SUM(H277:H278)</f>
        <v>0</v>
      </c>
      <c r="I276" s="2487">
        <f>SUM(I277:I278)</f>
        <v>0</v>
      </c>
      <c r="J276" s="2488">
        <f>SUM(J277:J278)</f>
        <v>0</v>
      </c>
      <c r="K276" s="2482"/>
    </row>
    <row r="277" spans="1:226" s="2485" customFormat="1" ht="15" hidden="1" customHeight="1">
      <c r="A277" s="2504"/>
      <c r="B277" s="2505"/>
      <c r="C277" s="2506"/>
      <c r="D277" s="2507"/>
      <c r="E277" s="2508"/>
      <c r="F277" s="2509">
        <f>SUM(G277:J277)</f>
        <v>0</v>
      </c>
      <c r="G277" s="2509"/>
      <c r="H277" s="2509"/>
      <c r="I277" s="2509"/>
      <c r="J277" s="2510"/>
      <c r="K277" s="2482"/>
    </row>
    <row r="278" spans="1:226" s="2485" customFormat="1" ht="15" hidden="1" customHeight="1">
      <c r="A278" s="2504"/>
      <c r="B278" s="2505"/>
      <c r="C278" s="2506"/>
      <c r="D278" s="2507"/>
      <c r="E278" s="2522"/>
      <c r="F278" s="2509">
        <f>SUM(G278:J278)</f>
        <v>0</v>
      </c>
      <c r="G278" s="2509"/>
      <c r="H278" s="2509"/>
      <c r="I278" s="2509"/>
      <c r="J278" s="2510"/>
      <c r="K278" s="2482"/>
    </row>
    <row r="279" spans="1:226" s="2485" customFormat="1" ht="22.5">
      <c r="A279" s="3112" t="s">
        <v>1122</v>
      </c>
      <c r="B279" s="3113" t="s">
        <v>1123</v>
      </c>
      <c r="C279" s="3114">
        <v>854</v>
      </c>
      <c r="D279" s="3134" t="s">
        <v>921</v>
      </c>
      <c r="E279" s="2479" t="s">
        <v>1086</v>
      </c>
      <c r="F279" s="2480">
        <f>SUM(F280,F299)</f>
        <v>936000</v>
      </c>
      <c r="G279" s="2480">
        <f>SUM(G280,G299)</f>
        <v>93600</v>
      </c>
      <c r="H279" s="2480">
        <f>SUM(H280,H299)</f>
        <v>795600</v>
      </c>
      <c r="I279" s="2480">
        <f>SUM(I280,I299)</f>
        <v>46800</v>
      </c>
      <c r="J279" s="2481">
        <f>SUM(J280,J299)</f>
        <v>0</v>
      </c>
      <c r="K279" s="2482"/>
    </row>
    <row r="280" spans="1:226" s="2485" customFormat="1" ht="21">
      <c r="A280" s="3112"/>
      <c r="B280" s="3113"/>
      <c r="C280" s="3114"/>
      <c r="D280" s="3134"/>
      <c r="E280" s="2486" t="s">
        <v>1092</v>
      </c>
      <c r="F280" s="2487">
        <f>SUM(F281,F288)</f>
        <v>936000</v>
      </c>
      <c r="G280" s="2487">
        <f>SUM(G281,G288)</f>
        <v>93600</v>
      </c>
      <c r="H280" s="2487">
        <f>SUM(H281,H288)</f>
        <v>795600</v>
      </c>
      <c r="I280" s="2487">
        <f>SUM(I281,I288)</f>
        <v>46800</v>
      </c>
      <c r="J280" s="2488">
        <f>SUM(J281,J288)</f>
        <v>0</v>
      </c>
      <c r="K280" s="2482"/>
    </row>
    <row r="281" spans="1:226" s="2485" customFormat="1" ht="22.5">
      <c r="A281" s="3112"/>
      <c r="B281" s="3113"/>
      <c r="C281" s="3114"/>
      <c r="D281" s="3134"/>
      <c r="E281" s="2497" t="s">
        <v>1093</v>
      </c>
      <c r="F281" s="2498">
        <f>SUM(F282:F287)</f>
        <v>140400</v>
      </c>
      <c r="G281" s="2498">
        <f>SUM(G282:G287)</f>
        <v>14040</v>
      </c>
      <c r="H281" s="2498">
        <f>SUM(H282:H287)</f>
        <v>119340</v>
      </c>
      <c r="I281" s="2498">
        <f>SUM(I282:I287)</f>
        <v>7020</v>
      </c>
      <c r="J281" s="2499">
        <f>SUM(J282:J287)</f>
        <v>0</v>
      </c>
      <c r="K281" s="2482"/>
    </row>
    <row r="282" spans="1:226" s="2485" customFormat="1" ht="15" customHeight="1">
      <c r="A282" s="3112"/>
      <c r="B282" s="3113"/>
      <c r="C282" s="3114"/>
      <c r="D282" s="3134"/>
      <c r="E282" s="2489" t="s">
        <v>647</v>
      </c>
      <c r="F282" s="2490">
        <f>SUM(G282:J282)</f>
        <v>99591</v>
      </c>
      <c r="G282" s="2490"/>
      <c r="H282" s="2490">
        <v>99591</v>
      </c>
      <c r="I282" s="2490"/>
      <c r="J282" s="2491"/>
      <c r="K282" s="2495"/>
    </row>
    <row r="283" spans="1:226" s="2485" customFormat="1" ht="15" customHeight="1">
      <c r="A283" s="3112"/>
      <c r="B283" s="3113"/>
      <c r="C283" s="3114"/>
      <c r="D283" s="3134"/>
      <c r="E283" s="2489" t="s">
        <v>592</v>
      </c>
      <c r="F283" s="2490">
        <f t="shared" ref="F283:F285" si="27">SUM(G283:J283)</f>
        <v>17575</v>
      </c>
      <c r="G283" s="2490">
        <v>11717</v>
      </c>
      <c r="H283" s="2490"/>
      <c r="I283" s="2490">
        <v>5858</v>
      </c>
      <c r="J283" s="2491"/>
      <c r="K283" s="2495"/>
    </row>
    <row r="284" spans="1:226" s="2485" customFormat="1" ht="15" customHeight="1">
      <c r="A284" s="3112"/>
      <c r="B284" s="3113"/>
      <c r="C284" s="3114"/>
      <c r="D284" s="3134"/>
      <c r="E284" s="2489" t="s">
        <v>649</v>
      </c>
      <c r="F284" s="2490">
        <f t="shared" si="27"/>
        <v>17309</v>
      </c>
      <c r="G284" s="2490"/>
      <c r="H284" s="2490">
        <v>17309</v>
      </c>
      <c r="I284" s="2490"/>
      <c r="J284" s="2491"/>
      <c r="K284" s="2495"/>
    </row>
    <row r="285" spans="1:226" s="2485" customFormat="1" ht="15" customHeight="1">
      <c r="A285" s="3112"/>
      <c r="B285" s="3113"/>
      <c r="C285" s="3114"/>
      <c r="D285" s="3134"/>
      <c r="E285" s="2489" t="s">
        <v>596</v>
      </c>
      <c r="F285" s="2490">
        <f t="shared" si="27"/>
        <v>3054</v>
      </c>
      <c r="G285" s="2490">
        <v>2036</v>
      </c>
      <c r="H285" s="2490"/>
      <c r="I285" s="2490">
        <v>1018</v>
      </c>
      <c r="J285" s="2491"/>
      <c r="K285" s="2495"/>
    </row>
    <row r="286" spans="1:226" s="2485" customFormat="1" ht="15" customHeight="1">
      <c r="A286" s="3112"/>
      <c r="B286" s="3113"/>
      <c r="C286" s="3114"/>
      <c r="D286" s="3134"/>
      <c r="E286" s="2489" t="s">
        <v>650</v>
      </c>
      <c r="F286" s="2490">
        <f>SUM(G286:J286)</f>
        <v>2440</v>
      </c>
      <c r="G286" s="2490"/>
      <c r="H286" s="2490">
        <v>2440</v>
      </c>
      <c r="I286" s="2490"/>
      <c r="J286" s="2491"/>
      <c r="K286" s="2495"/>
    </row>
    <row r="287" spans="1:226" s="2485" customFormat="1" ht="15" customHeight="1">
      <c r="A287" s="3112"/>
      <c r="B287" s="3113"/>
      <c r="C287" s="3114"/>
      <c r="D287" s="3134"/>
      <c r="E287" s="2489" t="s">
        <v>598</v>
      </c>
      <c r="F287" s="2490">
        <f>SUM(G287:J287)</f>
        <v>431</v>
      </c>
      <c r="G287" s="2490">
        <v>287</v>
      </c>
      <c r="H287" s="2490"/>
      <c r="I287" s="2490">
        <v>144</v>
      </c>
      <c r="J287" s="2491"/>
      <c r="K287" s="2495"/>
    </row>
    <row r="288" spans="1:226" s="2485" customFormat="1" ht="22.5">
      <c r="A288" s="3112"/>
      <c r="B288" s="3113"/>
      <c r="C288" s="3114"/>
      <c r="D288" s="3134"/>
      <c r="E288" s="2497" t="s">
        <v>1094</v>
      </c>
      <c r="F288" s="2498">
        <f>SUM(F289:F298)</f>
        <v>795600</v>
      </c>
      <c r="G288" s="2498">
        <f>SUM(G289:G298)</f>
        <v>79560</v>
      </c>
      <c r="H288" s="2498">
        <f>SUM(H289:H298)</f>
        <v>676260</v>
      </c>
      <c r="I288" s="2498">
        <f>SUM(I289:I298)</f>
        <v>39780</v>
      </c>
      <c r="J288" s="2499">
        <f>SUM(J289:J298)</f>
        <v>0</v>
      </c>
      <c r="K288" s="2495"/>
      <c r="L288" s="2484"/>
      <c r="M288" s="2484"/>
      <c r="N288" s="2484"/>
      <c r="O288" s="2484"/>
      <c r="P288" s="2484"/>
      <c r="Q288" s="2484"/>
      <c r="R288" s="2484"/>
      <c r="S288" s="2484"/>
      <c r="T288" s="2484"/>
      <c r="U288" s="2484"/>
      <c r="V288" s="2484"/>
      <c r="W288" s="2484"/>
      <c r="X288" s="2484"/>
      <c r="Y288" s="2484"/>
      <c r="Z288" s="2484"/>
      <c r="AA288" s="2484"/>
      <c r="AB288" s="2484"/>
      <c r="AC288" s="2484"/>
      <c r="AD288" s="2484"/>
      <c r="AE288" s="2484"/>
      <c r="AF288" s="2484"/>
      <c r="AG288" s="2484"/>
      <c r="AH288" s="2484"/>
      <c r="AI288" s="2484"/>
      <c r="AJ288" s="2484"/>
      <c r="AK288" s="2484"/>
      <c r="AL288" s="2484"/>
      <c r="AM288" s="2484"/>
      <c r="AN288" s="2484"/>
      <c r="AO288" s="2484"/>
      <c r="AP288" s="2484"/>
      <c r="AQ288" s="2484"/>
      <c r="AR288" s="2484"/>
      <c r="AS288" s="2484"/>
      <c r="AT288" s="2484"/>
      <c r="AU288" s="2484"/>
      <c r="AV288" s="2484"/>
      <c r="AW288" s="2484"/>
      <c r="AX288" s="2484"/>
      <c r="AY288" s="2484"/>
      <c r="AZ288" s="2484"/>
      <c r="BA288" s="2484"/>
      <c r="BB288" s="2484"/>
      <c r="BC288" s="2484"/>
      <c r="BD288" s="2484"/>
      <c r="BE288" s="2484"/>
      <c r="BF288" s="2484"/>
      <c r="BG288" s="2484"/>
      <c r="BH288" s="2484"/>
      <c r="BI288" s="2484"/>
      <c r="BJ288" s="2484"/>
      <c r="BK288" s="2484"/>
      <c r="BL288" s="2484"/>
      <c r="BM288" s="2484"/>
      <c r="BN288" s="2484"/>
      <c r="BO288" s="2484"/>
      <c r="BP288" s="2484"/>
      <c r="BQ288" s="2484"/>
      <c r="BR288" s="2484"/>
      <c r="BS288" s="2484"/>
      <c r="BT288" s="2484"/>
      <c r="BU288" s="2484"/>
      <c r="BV288" s="2484"/>
      <c r="BW288" s="2484"/>
      <c r="BX288" s="2484"/>
      <c r="BY288" s="2484"/>
      <c r="BZ288" s="2484"/>
      <c r="CA288" s="2484"/>
      <c r="CB288" s="2484"/>
      <c r="CC288" s="2484"/>
      <c r="CD288" s="2484"/>
      <c r="CE288" s="2484"/>
      <c r="CF288" s="2484"/>
      <c r="CG288" s="2484"/>
      <c r="CH288" s="2484"/>
      <c r="CI288" s="2484"/>
      <c r="CJ288" s="2484"/>
      <c r="CK288" s="2484"/>
      <c r="CL288" s="2484"/>
      <c r="CM288" s="2484"/>
      <c r="CN288" s="2484"/>
      <c r="CO288" s="2484"/>
      <c r="CP288" s="2484"/>
      <c r="CQ288" s="2484"/>
      <c r="CR288" s="2484"/>
      <c r="CS288" s="2484"/>
      <c r="CT288" s="2484"/>
      <c r="CU288" s="2484"/>
      <c r="CV288" s="2484"/>
      <c r="CW288" s="2484"/>
      <c r="CX288" s="2484"/>
      <c r="CY288" s="2484"/>
      <c r="CZ288" s="2484"/>
      <c r="DA288" s="2484"/>
      <c r="DB288" s="2484"/>
      <c r="DC288" s="2484"/>
      <c r="DD288" s="2484"/>
      <c r="DE288" s="2484"/>
      <c r="DF288" s="2484"/>
      <c r="DG288" s="2484"/>
      <c r="DH288" s="2484"/>
      <c r="DI288" s="2484"/>
      <c r="DJ288" s="2484"/>
      <c r="DK288" s="2484"/>
      <c r="DL288" s="2484"/>
      <c r="DM288" s="2484"/>
      <c r="DN288" s="2484"/>
      <c r="DO288" s="2484"/>
      <c r="DP288" s="2484"/>
      <c r="DQ288" s="2484"/>
      <c r="DR288" s="2484"/>
      <c r="DS288" s="2484"/>
      <c r="DT288" s="2484"/>
      <c r="DU288" s="2484"/>
      <c r="DV288" s="2484"/>
      <c r="DW288" s="2484"/>
      <c r="DX288" s="2484"/>
      <c r="DY288" s="2484"/>
      <c r="DZ288" s="2484"/>
      <c r="EA288" s="2484"/>
      <c r="EB288" s="2484"/>
      <c r="EC288" s="2484"/>
      <c r="ED288" s="2484"/>
      <c r="EE288" s="2484"/>
      <c r="EF288" s="2484"/>
      <c r="EG288" s="2484"/>
      <c r="EH288" s="2484"/>
      <c r="EI288" s="2484"/>
      <c r="EJ288" s="2484"/>
      <c r="EK288" s="2484"/>
      <c r="EL288" s="2484"/>
      <c r="EM288" s="2484"/>
      <c r="EN288" s="2484"/>
      <c r="EO288" s="2484"/>
      <c r="EP288" s="2484"/>
      <c r="EQ288" s="2484"/>
      <c r="ER288" s="2484"/>
      <c r="ES288" s="2484"/>
      <c r="ET288" s="2484"/>
      <c r="EU288" s="2484"/>
      <c r="EV288" s="2484"/>
      <c r="EW288" s="2484"/>
      <c r="EX288" s="2484"/>
      <c r="EY288" s="2484"/>
      <c r="EZ288" s="2484"/>
      <c r="FA288" s="2484"/>
      <c r="FB288" s="2484"/>
      <c r="FC288" s="2484"/>
      <c r="FD288" s="2484"/>
      <c r="FE288" s="2484"/>
      <c r="FF288" s="2484"/>
      <c r="FG288" s="2484"/>
      <c r="FH288" s="2484"/>
      <c r="FI288" s="2484"/>
      <c r="FJ288" s="2484"/>
      <c r="FK288" s="2484"/>
      <c r="FL288" s="2484"/>
      <c r="FM288" s="2484"/>
      <c r="FN288" s="2484"/>
      <c r="FO288" s="2484"/>
      <c r="FP288" s="2484"/>
      <c r="FQ288" s="2484"/>
      <c r="FR288" s="2484"/>
      <c r="FS288" s="2484"/>
      <c r="FT288" s="2484"/>
      <c r="FU288" s="2484"/>
      <c r="FV288" s="2484"/>
      <c r="FW288" s="2484"/>
      <c r="FX288" s="2484"/>
      <c r="FY288" s="2484"/>
      <c r="FZ288" s="2484"/>
      <c r="GA288" s="2484"/>
      <c r="GB288" s="2484"/>
      <c r="GC288" s="2484"/>
      <c r="GD288" s="2484"/>
      <c r="GE288" s="2484"/>
      <c r="GF288" s="2484"/>
      <c r="GG288" s="2484"/>
      <c r="GH288" s="2484"/>
      <c r="GI288" s="2484"/>
      <c r="GJ288" s="2484"/>
      <c r="GK288" s="2484"/>
      <c r="GL288" s="2484"/>
      <c r="GM288" s="2484"/>
      <c r="GN288" s="2484"/>
      <c r="GO288" s="2484"/>
      <c r="GP288" s="2484"/>
      <c r="GQ288" s="2484"/>
      <c r="GR288" s="2484"/>
      <c r="GS288" s="2484"/>
      <c r="GT288" s="2484"/>
      <c r="GU288" s="2484"/>
      <c r="GV288" s="2484"/>
      <c r="GW288" s="2484"/>
      <c r="GX288" s="2484"/>
      <c r="GY288" s="2484"/>
      <c r="GZ288" s="2484"/>
      <c r="HA288" s="2484"/>
      <c r="HB288" s="2484"/>
      <c r="HC288" s="2484"/>
      <c r="HD288" s="2484"/>
      <c r="HE288" s="2484"/>
      <c r="HF288" s="2484"/>
      <c r="HG288" s="2484"/>
      <c r="HH288" s="2484"/>
      <c r="HI288" s="2484"/>
      <c r="HJ288" s="2484"/>
      <c r="HK288" s="2484"/>
      <c r="HL288" s="2484"/>
      <c r="HM288" s="2484"/>
      <c r="HN288" s="2484"/>
      <c r="HO288" s="2484"/>
      <c r="HP288" s="2484"/>
      <c r="HQ288" s="2484"/>
      <c r="HR288" s="2484"/>
    </row>
    <row r="289" spans="1:11" s="2485" customFormat="1" ht="15" customHeight="1">
      <c r="A289" s="3112"/>
      <c r="B289" s="3113"/>
      <c r="C289" s="3114"/>
      <c r="D289" s="3134"/>
      <c r="E289" s="2489" t="s">
        <v>833</v>
      </c>
      <c r="F289" s="2490">
        <f>SUM(G289:J289)</f>
        <v>663000</v>
      </c>
      <c r="G289" s="2490"/>
      <c r="H289" s="2490">
        <v>663000</v>
      </c>
      <c r="I289" s="2490"/>
      <c r="J289" s="2491"/>
      <c r="K289" s="2495"/>
    </row>
    <row r="290" spans="1:11" s="2485" customFormat="1" ht="15" customHeight="1">
      <c r="A290" s="3112"/>
      <c r="B290" s="3113"/>
      <c r="C290" s="3114"/>
      <c r="D290" s="3134"/>
      <c r="E290" s="2489" t="s">
        <v>834</v>
      </c>
      <c r="F290" s="2490">
        <f t="shared" ref="F290:F297" si="28">SUM(G290:J290)</f>
        <v>117000</v>
      </c>
      <c r="G290" s="2490">
        <v>78000</v>
      </c>
      <c r="H290" s="2490"/>
      <c r="I290" s="2490">
        <v>39000</v>
      </c>
      <c r="J290" s="2491"/>
      <c r="K290" s="2495"/>
    </row>
    <row r="291" spans="1:11" s="2485" customFormat="1" ht="15" customHeight="1">
      <c r="A291" s="3112"/>
      <c r="B291" s="3113"/>
      <c r="C291" s="3114"/>
      <c r="D291" s="3134"/>
      <c r="E291" s="2489" t="s">
        <v>651</v>
      </c>
      <c r="F291" s="2490">
        <f t="shared" si="28"/>
        <v>7956</v>
      </c>
      <c r="G291" s="2490"/>
      <c r="H291" s="2490">
        <v>7956</v>
      </c>
      <c r="I291" s="2490"/>
      <c r="J291" s="2491"/>
      <c r="K291" s="2495"/>
    </row>
    <row r="292" spans="1:11" s="2485" customFormat="1" ht="15" customHeight="1">
      <c r="A292" s="3112"/>
      <c r="B292" s="3113"/>
      <c r="C292" s="3114"/>
      <c r="D292" s="3134"/>
      <c r="E292" s="2489" t="s">
        <v>605</v>
      </c>
      <c r="F292" s="2490">
        <f t="shared" si="28"/>
        <v>1404</v>
      </c>
      <c r="G292" s="2490">
        <v>936</v>
      </c>
      <c r="H292" s="2490"/>
      <c r="I292" s="2490">
        <v>468</v>
      </c>
      <c r="J292" s="2491"/>
      <c r="K292" s="2495"/>
    </row>
    <row r="293" spans="1:11" s="2485" customFormat="1" ht="15" customHeight="1">
      <c r="A293" s="3112"/>
      <c r="B293" s="3113"/>
      <c r="C293" s="3114"/>
      <c r="D293" s="3134"/>
      <c r="E293" s="2489" t="s">
        <v>841</v>
      </c>
      <c r="F293" s="2490">
        <f t="shared" si="28"/>
        <v>2652</v>
      </c>
      <c r="G293" s="2490"/>
      <c r="H293" s="2490">
        <v>2652</v>
      </c>
      <c r="I293" s="2490"/>
      <c r="J293" s="2491"/>
      <c r="K293" s="2495"/>
    </row>
    <row r="294" spans="1:11" s="2485" customFormat="1" ht="15" customHeight="1">
      <c r="A294" s="3112"/>
      <c r="B294" s="3113"/>
      <c r="C294" s="3114"/>
      <c r="D294" s="3134"/>
      <c r="E294" s="2489" t="s">
        <v>747</v>
      </c>
      <c r="F294" s="2490">
        <f t="shared" si="28"/>
        <v>468</v>
      </c>
      <c r="G294" s="2490">
        <v>312</v>
      </c>
      <c r="H294" s="2490"/>
      <c r="I294" s="2490">
        <v>156</v>
      </c>
      <c r="J294" s="2491"/>
      <c r="K294" s="2495"/>
    </row>
    <row r="295" spans="1:11" s="2485" customFormat="1" ht="15" customHeight="1">
      <c r="A295" s="3112"/>
      <c r="B295" s="3113"/>
      <c r="C295" s="3114"/>
      <c r="D295" s="3134"/>
      <c r="E295" s="2489" t="s">
        <v>652</v>
      </c>
      <c r="F295" s="2490">
        <f t="shared" si="28"/>
        <v>1326</v>
      </c>
      <c r="G295" s="2490"/>
      <c r="H295" s="2490">
        <v>1326</v>
      </c>
      <c r="I295" s="2490"/>
      <c r="J295" s="2491"/>
      <c r="K295" s="2495"/>
    </row>
    <row r="296" spans="1:11" s="2485" customFormat="1" ht="15" customHeight="1">
      <c r="A296" s="3112"/>
      <c r="B296" s="3113"/>
      <c r="C296" s="3114"/>
      <c r="D296" s="3134"/>
      <c r="E296" s="2489" t="s">
        <v>609</v>
      </c>
      <c r="F296" s="2490">
        <f t="shared" si="28"/>
        <v>234</v>
      </c>
      <c r="G296" s="2490">
        <v>156</v>
      </c>
      <c r="H296" s="2490"/>
      <c r="I296" s="2490">
        <v>78</v>
      </c>
      <c r="J296" s="2491"/>
      <c r="K296" s="2495"/>
    </row>
    <row r="297" spans="1:11" s="2485" customFormat="1" ht="15" customHeight="1">
      <c r="A297" s="3112"/>
      <c r="B297" s="3113"/>
      <c r="C297" s="3114"/>
      <c r="D297" s="3134"/>
      <c r="E297" s="2489" t="s">
        <v>845</v>
      </c>
      <c r="F297" s="2490">
        <f t="shared" si="28"/>
        <v>1326</v>
      </c>
      <c r="G297" s="2490"/>
      <c r="H297" s="2490">
        <v>1326</v>
      </c>
      <c r="I297" s="2490"/>
      <c r="J297" s="2491"/>
      <c r="K297" s="2495"/>
    </row>
    <row r="298" spans="1:11" s="2485" customFormat="1" ht="15" customHeight="1">
      <c r="A298" s="3112"/>
      <c r="B298" s="3113"/>
      <c r="C298" s="3114"/>
      <c r="D298" s="3134"/>
      <c r="E298" s="2489" t="s">
        <v>774</v>
      </c>
      <c r="F298" s="2490">
        <f>SUM(G298:J298)</f>
        <v>234</v>
      </c>
      <c r="G298" s="2490">
        <v>156</v>
      </c>
      <c r="H298" s="2490"/>
      <c r="I298" s="2490">
        <v>78</v>
      </c>
      <c r="J298" s="2491"/>
      <c r="K298" s="2495"/>
    </row>
    <row r="299" spans="1:11" s="2485" customFormat="1" ht="15" customHeight="1">
      <c r="A299" s="3112"/>
      <c r="B299" s="3113"/>
      <c r="C299" s="3114"/>
      <c r="D299" s="3134"/>
      <c r="E299" s="2492" t="s">
        <v>1087</v>
      </c>
      <c r="F299" s="2487">
        <f>SUM(F300:F301)</f>
        <v>0</v>
      </c>
      <c r="G299" s="2487">
        <f>SUM(G300:G301)</f>
        <v>0</v>
      </c>
      <c r="H299" s="2487">
        <f>SUM(H300:H301)</f>
        <v>0</v>
      </c>
      <c r="I299" s="2487">
        <f>SUM(I300:I301)</f>
        <v>0</v>
      </c>
      <c r="J299" s="2488">
        <f>SUM(J300:J301)</f>
        <v>0</v>
      </c>
      <c r="K299" s="2482"/>
    </row>
    <row r="300" spans="1:11" s="2485" customFormat="1" ht="15" hidden="1" customHeight="1">
      <c r="A300" s="2504"/>
      <c r="B300" s="2505"/>
      <c r="C300" s="2506"/>
      <c r="D300" s="2507"/>
      <c r="E300" s="2508"/>
      <c r="F300" s="2509">
        <f>SUM(G300:J300)</f>
        <v>0</v>
      </c>
      <c r="G300" s="2509"/>
      <c r="H300" s="2509"/>
      <c r="I300" s="2509"/>
      <c r="J300" s="2510"/>
      <c r="K300" s="2482"/>
    </row>
    <row r="301" spans="1:11" s="2485" customFormat="1" ht="15" hidden="1" customHeight="1">
      <c r="A301" s="2504"/>
      <c r="B301" s="2505"/>
      <c r="C301" s="2506"/>
      <c r="D301" s="2507"/>
      <c r="E301" s="2522"/>
      <c r="F301" s="2509">
        <f t="shared" ref="F301" si="29">SUM(G301:J301)</f>
        <v>0</v>
      </c>
      <c r="G301" s="2509"/>
      <c r="H301" s="2509"/>
      <c r="I301" s="2509"/>
      <c r="J301" s="2510"/>
      <c r="K301" s="2482"/>
    </row>
    <row r="302" spans="1:11" s="2485" customFormat="1" ht="15" hidden="1" customHeight="1">
      <c r="A302" s="3151" t="s">
        <v>1124</v>
      </c>
      <c r="B302" s="3152" t="s">
        <v>1125</v>
      </c>
      <c r="C302" s="3153">
        <v>854</v>
      </c>
      <c r="D302" s="3154" t="s">
        <v>921</v>
      </c>
      <c r="E302" s="2512" t="s">
        <v>1086</v>
      </c>
      <c r="F302" s="2513">
        <f>SUM(F303,F322)</f>
        <v>0</v>
      </c>
      <c r="G302" s="2513">
        <f>SUM(G303,G322)</f>
        <v>0</v>
      </c>
      <c r="H302" s="2513">
        <f>SUM(H303,H322)</f>
        <v>0</v>
      </c>
      <c r="I302" s="2513">
        <f>SUM(I303,I322)</f>
        <v>0</v>
      </c>
      <c r="J302" s="2514">
        <f>SUM(J303,J322)</f>
        <v>0</v>
      </c>
      <c r="K302" s="2482"/>
    </row>
    <row r="303" spans="1:11" s="2485" customFormat="1" ht="15" hidden="1" customHeight="1">
      <c r="A303" s="3151"/>
      <c r="B303" s="3152"/>
      <c r="C303" s="3153"/>
      <c r="D303" s="3154"/>
      <c r="E303" s="2515" t="s">
        <v>1092</v>
      </c>
      <c r="F303" s="2516">
        <f>SUM(F304,F311)</f>
        <v>0</v>
      </c>
      <c r="G303" s="2516">
        <f>SUM(G304,G311)</f>
        <v>0</v>
      </c>
      <c r="H303" s="2516">
        <f>SUM(H304,H311)</f>
        <v>0</v>
      </c>
      <c r="I303" s="2516">
        <f>SUM(I304,I311)</f>
        <v>0</v>
      </c>
      <c r="J303" s="2517">
        <f>SUM(J304,J311)</f>
        <v>0</v>
      </c>
      <c r="K303" s="2482"/>
    </row>
    <row r="304" spans="1:11" s="2485" customFormat="1" ht="15" hidden="1" customHeight="1">
      <c r="A304" s="3151"/>
      <c r="B304" s="3152"/>
      <c r="C304" s="3153"/>
      <c r="D304" s="3154"/>
      <c r="E304" s="2518" t="s">
        <v>1093</v>
      </c>
      <c r="F304" s="2519">
        <f>SUM(F305:F310)</f>
        <v>0</v>
      </c>
      <c r="G304" s="2519">
        <f>SUM(G305:G310)</f>
        <v>0</v>
      </c>
      <c r="H304" s="2519">
        <f>SUM(H305:H310)</f>
        <v>0</v>
      </c>
      <c r="I304" s="2519">
        <f>SUM(I305:I310)</f>
        <v>0</v>
      </c>
      <c r="J304" s="2520">
        <f>SUM(J305:J310)</f>
        <v>0</v>
      </c>
      <c r="K304" s="2482"/>
    </row>
    <row r="305" spans="1:226" s="2485" customFormat="1" ht="15" hidden="1" customHeight="1">
      <c r="A305" s="3151"/>
      <c r="B305" s="3152"/>
      <c r="C305" s="3153"/>
      <c r="D305" s="3154"/>
      <c r="E305" s="2508" t="s">
        <v>647</v>
      </c>
      <c r="F305" s="2509">
        <f>SUM(G305:J305)</f>
        <v>0</v>
      </c>
      <c r="G305" s="2509"/>
      <c r="H305" s="2509"/>
      <c r="I305" s="2509"/>
      <c r="J305" s="2510"/>
      <c r="K305" s="2482"/>
    </row>
    <row r="306" spans="1:226" s="2485" customFormat="1" ht="15" hidden="1" customHeight="1">
      <c r="A306" s="3151"/>
      <c r="B306" s="3152"/>
      <c r="C306" s="3153"/>
      <c r="D306" s="3154"/>
      <c r="E306" s="2508" t="s">
        <v>592</v>
      </c>
      <c r="F306" s="2509">
        <f t="shared" ref="F306:F308" si="30">SUM(G306:J306)</f>
        <v>0</v>
      </c>
      <c r="G306" s="2509"/>
      <c r="H306" s="2509"/>
      <c r="I306" s="2509"/>
      <c r="J306" s="2510"/>
      <c r="K306" s="2482"/>
    </row>
    <row r="307" spans="1:226" s="2485" customFormat="1" ht="15" hidden="1" customHeight="1">
      <c r="A307" s="3151"/>
      <c r="B307" s="3152"/>
      <c r="C307" s="3153"/>
      <c r="D307" s="3154"/>
      <c r="E307" s="2508" t="s">
        <v>649</v>
      </c>
      <c r="F307" s="2509">
        <f t="shared" si="30"/>
        <v>0</v>
      </c>
      <c r="G307" s="2509"/>
      <c r="H307" s="2509"/>
      <c r="I307" s="2509"/>
      <c r="J307" s="2510"/>
      <c r="K307" s="2482"/>
    </row>
    <row r="308" spans="1:226" s="2485" customFormat="1" ht="15" hidden="1" customHeight="1">
      <c r="A308" s="3151"/>
      <c r="B308" s="3152"/>
      <c r="C308" s="3153"/>
      <c r="D308" s="3154"/>
      <c r="E308" s="2508" t="s">
        <v>596</v>
      </c>
      <c r="F308" s="2509">
        <f t="shared" si="30"/>
        <v>0</v>
      </c>
      <c r="G308" s="2509"/>
      <c r="H308" s="2509"/>
      <c r="I308" s="2509"/>
      <c r="J308" s="2510"/>
      <c r="K308" s="2482"/>
    </row>
    <row r="309" spans="1:226" s="2485" customFormat="1" ht="15" hidden="1" customHeight="1">
      <c r="A309" s="3151"/>
      <c r="B309" s="3152"/>
      <c r="C309" s="3153"/>
      <c r="D309" s="3154"/>
      <c r="E309" s="2508" t="s">
        <v>650</v>
      </c>
      <c r="F309" s="2509">
        <f>SUM(G309:J309)</f>
        <v>0</v>
      </c>
      <c r="G309" s="2509"/>
      <c r="H309" s="2509"/>
      <c r="I309" s="2509"/>
      <c r="J309" s="2510"/>
      <c r="K309" s="2482"/>
    </row>
    <row r="310" spans="1:226" s="2485" customFormat="1" ht="15" hidden="1" customHeight="1">
      <c r="A310" s="3151"/>
      <c r="B310" s="3152"/>
      <c r="C310" s="3153"/>
      <c r="D310" s="3154"/>
      <c r="E310" s="2508" t="s">
        <v>598</v>
      </c>
      <c r="F310" s="2509">
        <f>SUM(G310:J310)</f>
        <v>0</v>
      </c>
      <c r="G310" s="2509"/>
      <c r="H310" s="2509"/>
      <c r="I310" s="2509"/>
      <c r="J310" s="2510"/>
      <c r="K310" s="2482"/>
    </row>
    <row r="311" spans="1:226" s="2485" customFormat="1" ht="15" hidden="1" customHeight="1">
      <c r="A311" s="3151"/>
      <c r="B311" s="3152"/>
      <c r="C311" s="3153"/>
      <c r="D311" s="3154"/>
      <c r="E311" s="2518" t="s">
        <v>1094</v>
      </c>
      <c r="F311" s="2519">
        <f>SUM(F312:F321)</f>
        <v>0</v>
      </c>
      <c r="G311" s="2519">
        <f>SUM(G312:G321)</f>
        <v>0</v>
      </c>
      <c r="H311" s="2519">
        <f>SUM(H312:H321)</f>
        <v>0</v>
      </c>
      <c r="I311" s="2519">
        <f>SUM(I312:I321)</f>
        <v>0</v>
      </c>
      <c r="J311" s="2520">
        <f>SUM(J312:J321)</f>
        <v>0</v>
      </c>
      <c r="K311" s="2482"/>
      <c r="L311" s="2484"/>
      <c r="M311" s="2484"/>
      <c r="N311" s="2484"/>
      <c r="O311" s="2484"/>
      <c r="P311" s="2484"/>
      <c r="Q311" s="2484"/>
      <c r="R311" s="2484"/>
      <c r="S311" s="2484"/>
      <c r="T311" s="2484"/>
      <c r="U311" s="2484"/>
      <c r="V311" s="2484"/>
      <c r="W311" s="2484"/>
      <c r="X311" s="2484"/>
      <c r="Y311" s="2484"/>
      <c r="Z311" s="2484"/>
      <c r="AA311" s="2484"/>
      <c r="AB311" s="2484"/>
      <c r="AC311" s="2484"/>
      <c r="AD311" s="2484"/>
      <c r="AE311" s="2484"/>
      <c r="AF311" s="2484"/>
      <c r="AG311" s="2484"/>
      <c r="AH311" s="2484"/>
      <c r="AI311" s="2484"/>
      <c r="AJ311" s="2484"/>
      <c r="AK311" s="2484"/>
      <c r="AL311" s="2484"/>
      <c r="AM311" s="2484"/>
      <c r="AN311" s="2484"/>
      <c r="AO311" s="2484"/>
      <c r="AP311" s="2484"/>
      <c r="AQ311" s="2484"/>
      <c r="AR311" s="2484"/>
      <c r="AS311" s="2484"/>
      <c r="AT311" s="2484"/>
      <c r="AU311" s="2484"/>
      <c r="AV311" s="2484"/>
      <c r="AW311" s="2484"/>
      <c r="AX311" s="2484"/>
      <c r="AY311" s="2484"/>
      <c r="AZ311" s="2484"/>
      <c r="BA311" s="2484"/>
      <c r="BB311" s="2484"/>
      <c r="BC311" s="2484"/>
      <c r="BD311" s="2484"/>
      <c r="BE311" s="2484"/>
      <c r="BF311" s="2484"/>
      <c r="BG311" s="2484"/>
      <c r="BH311" s="2484"/>
      <c r="BI311" s="2484"/>
      <c r="BJ311" s="2484"/>
      <c r="BK311" s="2484"/>
      <c r="BL311" s="2484"/>
      <c r="BM311" s="2484"/>
      <c r="BN311" s="2484"/>
      <c r="BO311" s="2484"/>
      <c r="BP311" s="2484"/>
      <c r="BQ311" s="2484"/>
      <c r="BR311" s="2484"/>
      <c r="BS311" s="2484"/>
      <c r="BT311" s="2484"/>
      <c r="BU311" s="2484"/>
      <c r="BV311" s="2484"/>
      <c r="BW311" s="2484"/>
      <c r="BX311" s="2484"/>
      <c r="BY311" s="2484"/>
      <c r="BZ311" s="2484"/>
      <c r="CA311" s="2484"/>
      <c r="CB311" s="2484"/>
      <c r="CC311" s="2484"/>
      <c r="CD311" s="2484"/>
      <c r="CE311" s="2484"/>
      <c r="CF311" s="2484"/>
      <c r="CG311" s="2484"/>
      <c r="CH311" s="2484"/>
      <c r="CI311" s="2484"/>
      <c r="CJ311" s="2484"/>
      <c r="CK311" s="2484"/>
      <c r="CL311" s="2484"/>
      <c r="CM311" s="2484"/>
      <c r="CN311" s="2484"/>
      <c r="CO311" s="2484"/>
      <c r="CP311" s="2484"/>
      <c r="CQ311" s="2484"/>
      <c r="CR311" s="2484"/>
      <c r="CS311" s="2484"/>
      <c r="CT311" s="2484"/>
      <c r="CU311" s="2484"/>
      <c r="CV311" s="2484"/>
      <c r="CW311" s="2484"/>
      <c r="CX311" s="2484"/>
      <c r="CY311" s="2484"/>
      <c r="CZ311" s="2484"/>
      <c r="DA311" s="2484"/>
      <c r="DB311" s="2484"/>
      <c r="DC311" s="2484"/>
      <c r="DD311" s="2484"/>
      <c r="DE311" s="2484"/>
      <c r="DF311" s="2484"/>
      <c r="DG311" s="2484"/>
      <c r="DH311" s="2484"/>
      <c r="DI311" s="2484"/>
      <c r="DJ311" s="2484"/>
      <c r="DK311" s="2484"/>
      <c r="DL311" s="2484"/>
      <c r="DM311" s="2484"/>
      <c r="DN311" s="2484"/>
      <c r="DO311" s="2484"/>
      <c r="DP311" s="2484"/>
      <c r="DQ311" s="2484"/>
      <c r="DR311" s="2484"/>
      <c r="DS311" s="2484"/>
      <c r="DT311" s="2484"/>
      <c r="DU311" s="2484"/>
      <c r="DV311" s="2484"/>
      <c r="DW311" s="2484"/>
      <c r="DX311" s="2484"/>
      <c r="DY311" s="2484"/>
      <c r="DZ311" s="2484"/>
      <c r="EA311" s="2484"/>
      <c r="EB311" s="2484"/>
      <c r="EC311" s="2484"/>
      <c r="ED311" s="2484"/>
      <c r="EE311" s="2484"/>
      <c r="EF311" s="2484"/>
      <c r="EG311" s="2484"/>
      <c r="EH311" s="2484"/>
      <c r="EI311" s="2484"/>
      <c r="EJ311" s="2484"/>
      <c r="EK311" s="2484"/>
      <c r="EL311" s="2484"/>
      <c r="EM311" s="2484"/>
      <c r="EN311" s="2484"/>
      <c r="EO311" s="2484"/>
      <c r="EP311" s="2484"/>
      <c r="EQ311" s="2484"/>
      <c r="ER311" s="2484"/>
      <c r="ES311" s="2484"/>
      <c r="ET311" s="2484"/>
      <c r="EU311" s="2484"/>
      <c r="EV311" s="2484"/>
      <c r="EW311" s="2484"/>
      <c r="EX311" s="2484"/>
      <c r="EY311" s="2484"/>
      <c r="EZ311" s="2484"/>
      <c r="FA311" s="2484"/>
      <c r="FB311" s="2484"/>
      <c r="FC311" s="2484"/>
      <c r="FD311" s="2484"/>
      <c r="FE311" s="2484"/>
      <c r="FF311" s="2484"/>
      <c r="FG311" s="2484"/>
      <c r="FH311" s="2484"/>
      <c r="FI311" s="2484"/>
      <c r="FJ311" s="2484"/>
      <c r="FK311" s="2484"/>
      <c r="FL311" s="2484"/>
      <c r="FM311" s="2484"/>
      <c r="FN311" s="2484"/>
      <c r="FO311" s="2484"/>
      <c r="FP311" s="2484"/>
      <c r="FQ311" s="2484"/>
      <c r="FR311" s="2484"/>
      <c r="FS311" s="2484"/>
      <c r="FT311" s="2484"/>
      <c r="FU311" s="2484"/>
      <c r="FV311" s="2484"/>
      <c r="FW311" s="2484"/>
      <c r="FX311" s="2484"/>
      <c r="FY311" s="2484"/>
      <c r="FZ311" s="2484"/>
      <c r="GA311" s="2484"/>
      <c r="GB311" s="2484"/>
      <c r="GC311" s="2484"/>
      <c r="GD311" s="2484"/>
      <c r="GE311" s="2484"/>
      <c r="GF311" s="2484"/>
      <c r="GG311" s="2484"/>
      <c r="GH311" s="2484"/>
      <c r="GI311" s="2484"/>
      <c r="GJ311" s="2484"/>
      <c r="GK311" s="2484"/>
      <c r="GL311" s="2484"/>
      <c r="GM311" s="2484"/>
      <c r="GN311" s="2484"/>
      <c r="GO311" s="2484"/>
      <c r="GP311" s="2484"/>
      <c r="GQ311" s="2484"/>
      <c r="GR311" s="2484"/>
      <c r="GS311" s="2484"/>
      <c r="GT311" s="2484"/>
      <c r="GU311" s="2484"/>
      <c r="GV311" s="2484"/>
      <c r="GW311" s="2484"/>
      <c r="GX311" s="2484"/>
      <c r="GY311" s="2484"/>
      <c r="GZ311" s="2484"/>
      <c r="HA311" s="2484"/>
      <c r="HB311" s="2484"/>
      <c r="HC311" s="2484"/>
      <c r="HD311" s="2484"/>
      <c r="HE311" s="2484"/>
      <c r="HF311" s="2484"/>
      <c r="HG311" s="2484"/>
      <c r="HH311" s="2484"/>
      <c r="HI311" s="2484"/>
      <c r="HJ311" s="2484"/>
      <c r="HK311" s="2484"/>
      <c r="HL311" s="2484"/>
      <c r="HM311" s="2484"/>
      <c r="HN311" s="2484"/>
      <c r="HO311" s="2484"/>
      <c r="HP311" s="2484"/>
      <c r="HQ311" s="2484"/>
      <c r="HR311" s="2484"/>
    </row>
    <row r="312" spans="1:226" s="2485" customFormat="1" ht="15" hidden="1" customHeight="1">
      <c r="A312" s="3151"/>
      <c r="B312" s="3152"/>
      <c r="C312" s="3153"/>
      <c r="D312" s="3154"/>
      <c r="E312" s="2508" t="s">
        <v>833</v>
      </c>
      <c r="F312" s="2509">
        <f>SUM(G312:J312)</f>
        <v>0</v>
      </c>
      <c r="G312" s="2509"/>
      <c r="H312" s="2509"/>
      <c r="I312" s="2509"/>
      <c r="J312" s="2510"/>
      <c r="K312" s="2482"/>
    </row>
    <row r="313" spans="1:226" s="2485" customFormat="1" ht="15" hidden="1" customHeight="1">
      <c r="A313" s="3151"/>
      <c r="B313" s="3152"/>
      <c r="C313" s="3153"/>
      <c r="D313" s="3154"/>
      <c r="E313" s="2508" t="s">
        <v>834</v>
      </c>
      <c r="F313" s="2509">
        <f t="shared" ref="F313:F320" si="31">SUM(G313:J313)</f>
        <v>0</v>
      </c>
      <c r="G313" s="2509"/>
      <c r="H313" s="2509"/>
      <c r="I313" s="2509"/>
      <c r="J313" s="2510"/>
      <c r="K313" s="2482"/>
    </row>
    <row r="314" spans="1:226" s="2485" customFormat="1" ht="15" hidden="1" customHeight="1">
      <c r="A314" s="3151"/>
      <c r="B314" s="3152"/>
      <c r="C314" s="3153"/>
      <c r="D314" s="3154"/>
      <c r="E314" s="2508" t="s">
        <v>651</v>
      </c>
      <c r="F314" s="2509">
        <f t="shared" si="31"/>
        <v>0</v>
      </c>
      <c r="G314" s="2509"/>
      <c r="H314" s="2509"/>
      <c r="I314" s="2509"/>
      <c r="J314" s="2510"/>
      <c r="K314" s="2482"/>
    </row>
    <row r="315" spans="1:226" s="2485" customFormat="1" ht="15" hidden="1" customHeight="1">
      <c r="A315" s="3151"/>
      <c r="B315" s="3152"/>
      <c r="C315" s="3153"/>
      <c r="D315" s="3154"/>
      <c r="E315" s="2508" t="s">
        <v>605</v>
      </c>
      <c r="F315" s="2509">
        <f t="shared" si="31"/>
        <v>0</v>
      </c>
      <c r="G315" s="2509"/>
      <c r="H315" s="2509"/>
      <c r="I315" s="2509"/>
      <c r="J315" s="2510"/>
      <c r="K315" s="2482"/>
    </row>
    <row r="316" spans="1:226" s="2485" customFormat="1" ht="15" hidden="1" customHeight="1">
      <c r="A316" s="3151"/>
      <c r="B316" s="3152"/>
      <c r="C316" s="3153"/>
      <c r="D316" s="3154"/>
      <c r="E316" s="2508" t="s">
        <v>841</v>
      </c>
      <c r="F316" s="2509">
        <f t="shared" si="31"/>
        <v>0</v>
      </c>
      <c r="G316" s="2509"/>
      <c r="H316" s="2509"/>
      <c r="I316" s="2509"/>
      <c r="J316" s="2510"/>
      <c r="K316" s="2482"/>
    </row>
    <row r="317" spans="1:226" s="2485" customFormat="1" ht="15" hidden="1" customHeight="1">
      <c r="A317" s="3151"/>
      <c r="B317" s="3152"/>
      <c r="C317" s="3153"/>
      <c r="D317" s="3154"/>
      <c r="E317" s="2508" t="s">
        <v>747</v>
      </c>
      <c r="F317" s="2509">
        <f t="shared" si="31"/>
        <v>0</v>
      </c>
      <c r="G317" s="2509"/>
      <c r="H317" s="2509"/>
      <c r="I317" s="2509"/>
      <c r="J317" s="2510"/>
      <c r="K317" s="2482"/>
    </row>
    <row r="318" spans="1:226" s="2485" customFormat="1" ht="15" hidden="1" customHeight="1">
      <c r="A318" s="3151"/>
      <c r="B318" s="3152"/>
      <c r="C318" s="3153"/>
      <c r="D318" s="3154"/>
      <c r="E318" s="2508" t="s">
        <v>652</v>
      </c>
      <c r="F318" s="2509">
        <f t="shared" si="31"/>
        <v>0</v>
      </c>
      <c r="G318" s="2509"/>
      <c r="H318" s="2509"/>
      <c r="I318" s="2509"/>
      <c r="J318" s="2510"/>
      <c r="K318" s="2482"/>
    </row>
    <row r="319" spans="1:226" s="2485" customFormat="1" ht="15" hidden="1" customHeight="1">
      <c r="A319" s="3151"/>
      <c r="B319" s="3152"/>
      <c r="C319" s="3153"/>
      <c r="D319" s="3154"/>
      <c r="E319" s="2508" t="s">
        <v>609</v>
      </c>
      <c r="F319" s="2509">
        <f t="shared" si="31"/>
        <v>0</v>
      </c>
      <c r="G319" s="2509"/>
      <c r="H319" s="2509"/>
      <c r="I319" s="2509"/>
      <c r="J319" s="2510"/>
      <c r="K319" s="2482"/>
    </row>
    <row r="320" spans="1:226" s="2485" customFormat="1" ht="15" hidden="1" customHeight="1">
      <c r="A320" s="3151"/>
      <c r="B320" s="3152"/>
      <c r="C320" s="3153"/>
      <c r="D320" s="3154"/>
      <c r="E320" s="2508" t="s">
        <v>845</v>
      </c>
      <c r="F320" s="2509">
        <f t="shared" si="31"/>
        <v>0</v>
      </c>
      <c r="G320" s="2509"/>
      <c r="H320" s="2509"/>
      <c r="I320" s="2509"/>
      <c r="J320" s="2510"/>
      <c r="K320" s="2482"/>
    </row>
    <row r="321" spans="1:226" s="2485" customFormat="1" ht="15" hidden="1" customHeight="1">
      <c r="A321" s="3151"/>
      <c r="B321" s="3152"/>
      <c r="C321" s="3153"/>
      <c r="D321" s="3154"/>
      <c r="E321" s="2508" t="s">
        <v>774</v>
      </c>
      <c r="F321" s="2509">
        <f>SUM(G321:J321)</f>
        <v>0</v>
      </c>
      <c r="G321" s="2509"/>
      <c r="H321" s="2509"/>
      <c r="I321" s="2509"/>
      <c r="J321" s="2510"/>
      <c r="K321" s="2482"/>
    </row>
    <row r="322" spans="1:226" s="2485" customFormat="1" ht="15" hidden="1" customHeight="1">
      <c r="A322" s="3151"/>
      <c r="B322" s="3152"/>
      <c r="C322" s="3153"/>
      <c r="D322" s="3154"/>
      <c r="E322" s="2521" t="s">
        <v>1087</v>
      </c>
      <c r="F322" s="2516">
        <f>SUM(F323:F324)</f>
        <v>0</v>
      </c>
      <c r="G322" s="2516">
        <f>SUM(G323:G324)</f>
        <v>0</v>
      </c>
      <c r="H322" s="2516">
        <f>SUM(H323:H324)</f>
        <v>0</v>
      </c>
      <c r="I322" s="2516">
        <f>SUM(I323:I324)</f>
        <v>0</v>
      </c>
      <c r="J322" s="2517">
        <f>SUM(J323:J324)</f>
        <v>0</v>
      </c>
      <c r="K322" s="2482"/>
    </row>
    <row r="323" spans="1:226" s="2485" customFormat="1" ht="15" hidden="1" customHeight="1">
      <c r="A323" s="2504"/>
      <c r="B323" s="2505"/>
      <c r="C323" s="2506"/>
      <c r="D323" s="2507"/>
      <c r="E323" s="2508"/>
      <c r="F323" s="2509">
        <f>SUM(G323:J323)</f>
        <v>0</v>
      </c>
      <c r="G323" s="2509"/>
      <c r="H323" s="2509"/>
      <c r="I323" s="2509"/>
      <c r="J323" s="2510"/>
      <c r="K323" s="2482"/>
    </row>
    <row r="324" spans="1:226" s="2485" customFormat="1" ht="15" hidden="1" customHeight="1">
      <c r="A324" s="2504"/>
      <c r="B324" s="2505"/>
      <c r="C324" s="2506"/>
      <c r="D324" s="2507"/>
      <c r="E324" s="2522"/>
      <c r="F324" s="2509">
        <f>SUM(G324:J324)</f>
        <v>0</v>
      </c>
      <c r="G324" s="2509"/>
      <c r="H324" s="2509"/>
      <c r="I324" s="2509"/>
      <c r="J324" s="2510"/>
      <c r="K324" s="2482"/>
    </row>
    <row r="325" spans="1:226" s="2485" customFormat="1" ht="15" hidden="1" customHeight="1">
      <c r="A325" s="3151" t="s">
        <v>1126</v>
      </c>
      <c r="B325" s="3152" t="s">
        <v>1127</v>
      </c>
      <c r="C325" s="3153">
        <v>854</v>
      </c>
      <c r="D325" s="3154" t="s">
        <v>921</v>
      </c>
      <c r="E325" s="2512" t="s">
        <v>1086</v>
      </c>
      <c r="F325" s="2513">
        <f>SUM(F326,F345)</f>
        <v>0</v>
      </c>
      <c r="G325" s="2513">
        <f>SUM(G326,G345)</f>
        <v>0</v>
      </c>
      <c r="H325" s="2513">
        <f>SUM(H326,H345)</f>
        <v>0</v>
      </c>
      <c r="I325" s="2513">
        <f>SUM(I326,I345)</f>
        <v>0</v>
      </c>
      <c r="J325" s="2514">
        <f>SUM(J326,J345)</f>
        <v>0</v>
      </c>
      <c r="K325" s="2482"/>
    </row>
    <row r="326" spans="1:226" s="2485" customFormat="1" ht="15" hidden="1" customHeight="1">
      <c r="A326" s="3151"/>
      <c r="B326" s="3152"/>
      <c r="C326" s="3153"/>
      <c r="D326" s="3154"/>
      <c r="E326" s="2515" t="s">
        <v>1092</v>
      </c>
      <c r="F326" s="2516">
        <f>SUM(F327,F334)</f>
        <v>0</v>
      </c>
      <c r="G326" s="2516">
        <f>SUM(G327,G334)</f>
        <v>0</v>
      </c>
      <c r="H326" s="2516">
        <f>SUM(H327,H334)</f>
        <v>0</v>
      </c>
      <c r="I326" s="2516">
        <f>SUM(I327,I334)</f>
        <v>0</v>
      </c>
      <c r="J326" s="2517">
        <f>SUM(J327,J334)</f>
        <v>0</v>
      </c>
      <c r="K326" s="2482"/>
    </row>
    <row r="327" spans="1:226" s="2485" customFormat="1" ht="15" hidden="1" customHeight="1">
      <c r="A327" s="3151"/>
      <c r="B327" s="3152"/>
      <c r="C327" s="3153"/>
      <c r="D327" s="3154"/>
      <c r="E327" s="2518" t="s">
        <v>1093</v>
      </c>
      <c r="F327" s="2519">
        <f>SUM(F328:F333)</f>
        <v>0</v>
      </c>
      <c r="G327" s="2519">
        <f>SUM(G328:G333)</f>
        <v>0</v>
      </c>
      <c r="H327" s="2519">
        <f>SUM(H328:H333)</f>
        <v>0</v>
      </c>
      <c r="I327" s="2519">
        <f>SUM(I328:I333)</f>
        <v>0</v>
      </c>
      <c r="J327" s="2520">
        <f>SUM(J328:J333)</f>
        <v>0</v>
      </c>
      <c r="K327" s="2482"/>
    </row>
    <row r="328" spans="1:226" s="2485" customFormat="1" ht="15" hidden="1" customHeight="1">
      <c r="A328" s="3151"/>
      <c r="B328" s="3152"/>
      <c r="C328" s="3153"/>
      <c r="D328" s="3154"/>
      <c r="E328" s="2508" t="s">
        <v>647</v>
      </c>
      <c r="F328" s="2509">
        <f>SUM(G328:J328)</f>
        <v>0</v>
      </c>
      <c r="G328" s="2509"/>
      <c r="H328" s="2509"/>
      <c r="I328" s="2509"/>
      <c r="J328" s="2510"/>
      <c r="K328" s="2495"/>
    </row>
    <row r="329" spans="1:226" s="2485" customFormat="1" ht="15" hidden="1" customHeight="1">
      <c r="A329" s="3151"/>
      <c r="B329" s="3152"/>
      <c r="C329" s="3153"/>
      <c r="D329" s="3154"/>
      <c r="E329" s="2508" t="s">
        <v>592</v>
      </c>
      <c r="F329" s="2509">
        <f t="shared" ref="F329:F331" si="32">SUM(G329:J329)</f>
        <v>0</v>
      </c>
      <c r="G329" s="2509"/>
      <c r="H329" s="2509"/>
      <c r="I329" s="2509"/>
      <c r="J329" s="2510"/>
      <c r="K329" s="2495"/>
    </row>
    <row r="330" spans="1:226" s="2485" customFormat="1" ht="15" hidden="1" customHeight="1">
      <c r="A330" s="3151"/>
      <c r="B330" s="3152"/>
      <c r="C330" s="3153"/>
      <c r="D330" s="3154"/>
      <c r="E330" s="2508" t="s">
        <v>649</v>
      </c>
      <c r="F330" s="2509">
        <f t="shared" si="32"/>
        <v>0</v>
      </c>
      <c r="G330" s="2509"/>
      <c r="H330" s="2509"/>
      <c r="I330" s="2509"/>
      <c r="J330" s="2510"/>
      <c r="K330" s="2495"/>
    </row>
    <row r="331" spans="1:226" s="2485" customFormat="1" ht="15" hidden="1" customHeight="1">
      <c r="A331" s="3151"/>
      <c r="B331" s="3152"/>
      <c r="C331" s="3153"/>
      <c r="D331" s="3154"/>
      <c r="E331" s="2508" t="s">
        <v>596</v>
      </c>
      <c r="F331" s="2509">
        <f t="shared" si="32"/>
        <v>0</v>
      </c>
      <c r="G331" s="2509"/>
      <c r="H331" s="2509"/>
      <c r="I331" s="2509"/>
      <c r="J331" s="2510"/>
      <c r="K331" s="2495"/>
    </row>
    <row r="332" spans="1:226" s="2485" customFormat="1" ht="15" hidden="1" customHeight="1">
      <c r="A332" s="3151"/>
      <c r="B332" s="3152"/>
      <c r="C332" s="3153"/>
      <c r="D332" s="3154"/>
      <c r="E332" s="2508" t="s">
        <v>650</v>
      </c>
      <c r="F332" s="2509">
        <f>SUM(G332:J332)</f>
        <v>0</v>
      </c>
      <c r="G332" s="2509"/>
      <c r="H332" s="2509"/>
      <c r="I332" s="2509"/>
      <c r="J332" s="2510"/>
      <c r="K332" s="2495"/>
    </row>
    <row r="333" spans="1:226" s="2485" customFormat="1" ht="15" hidden="1" customHeight="1">
      <c r="A333" s="3151"/>
      <c r="B333" s="3152"/>
      <c r="C333" s="3153"/>
      <c r="D333" s="3154"/>
      <c r="E333" s="2508" t="s">
        <v>598</v>
      </c>
      <c r="F333" s="2509">
        <f>SUM(G333:J333)</f>
        <v>0</v>
      </c>
      <c r="G333" s="2509"/>
      <c r="H333" s="2509"/>
      <c r="I333" s="2509"/>
      <c r="J333" s="2510"/>
      <c r="K333" s="2495"/>
    </row>
    <row r="334" spans="1:226" s="2485" customFormat="1" ht="15" hidden="1" customHeight="1">
      <c r="A334" s="3151"/>
      <c r="B334" s="3152"/>
      <c r="C334" s="3153"/>
      <c r="D334" s="3154"/>
      <c r="E334" s="2518" t="s">
        <v>1094</v>
      </c>
      <c r="F334" s="2519">
        <f>SUM(F335:F344)</f>
        <v>0</v>
      </c>
      <c r="G334" s="2519">
        <f>SUM(G335:G344)</f>
        <v>0</v>
      </c>
      <c r="H334" s="2519">
        <f>SUM(H335:H344)</f>
        <v>0</v>
      </c>
      <c r="I334" s="2519">
        <f>SUM(I335:I344)</f>
        <v>0</v>
      </c>
      <c r="J334" s="2520">
        <f>SUM(J335:J344)</f>
        <v>0</v>
      </c>
      <c r="K334" s="2495"/>
      <c r="L334" s="2484"/>
      <c r="M334" s="2484"/>
      <c r="N334" s="2484"/>
      <c r="O334" s="2484"/>
      <c r="P334" s="2484"/>
      <c r="Q334" s="2484"/>
      <c r="R334" s="2484"/>
      <c r="S334" s="2484"/>
      <c r="T334" s="2484"/>
      <c r="U334" s="2484"/>
      <c r="V334" s="2484"/>
      <c r="W334" s="2484"/>
      <c r="X334" s="2484"/>
      <c r="Y334" s="2484"/>
      <c r="Z334" s="2484"/>
      <c r="AA334" s="2484"/>
      <c r="AB334" s="2484"/>
      <c r="AC334" s="2484"/>
      <c r="AD334" s="2484"/>
      <c r="AE334" s="2484"/>
      <c r="AF334" s="2484"/>
      <c r="AG334" s="2484"/>
      <c r="AH334" s="2484"/>
      <c r="AI334" s="2484"/>
      <c r="AJ334" s="2484"/>
      <c r="AK334" s="2484"/>
      <c r="AL334" s="2484"/>
      <c r="AM334" s="2484"/>
      <c r="AN334" s="2484"/>
      <c r="AO334" s="2484"/>
      <c r="AP334" s="2484"/>
      <c r="AQ334" s="2484"/>
      <c r="AR334" s="2484"/>
      <c r="AS334" s="2484"/>
      <c r="AT334" s="2484"/>
      <c r="AU334" s="2484"/>
      <c r="AV334" s="2484"/>
      <c r="AW334" s="2484"/>
      <c r="AX334" s="2484"/>
      <c r="AY334" s="2484"/>
      <c r="AZ334" s="2484"/>
      <c r="BA334" s="2484"/>
      <c r="BB334" s="2484"/>
      <c r="BC334" s="2484"/>
      <c r="BD334" s="2484"/>
      <c r="BE334" s="2484"/>
      <c r="BF334" s="2484"/>
      <c r="BG334" s="2484"/>
      <c r="BH334" s="2484"/>
      <c r="BI334" s="2484"/>
      <c r="BJ334" s="2484"/>
      <c r="BK334" s="2484"/>
      <c r="BL334" s="2484"/>
      <c r="BM334" s="2484"/>
      <c r="BN334" s="2484"/>
      <c r="BO334" s="2484"/>
      <c r="BP334" s="2484"/>
      <c r="BQ334" s="2484"/>
      <c r="BR334" s="2484"/>
      <c r="BS334" s="2484"/>
      <c r="BT334" s="2484"/>
      <c r="BU334" s="2484"/>
      <c r="BV334" s="2484"/>
      <c r="BW334" s="2484"/>
      <c r="BX334" s="2484"/>
      <c r="BY334" s="2484"/>
      <c r="BZ334" s="2484"/>
      <c r="CA334" s="2484"/>
      <c r="CB334" s="2484"/>
      <c r="CC334" s="2484"/>
      <c r="CD334" s="2484"/>
      <c r="CE334" s="2484"/>
      <c r="CF334" s="2484"/>
      <c r="CG334" s="2484"/>
      <c r="CH334" s="2484"/>
      <c r="CI334" s="2484"/>
      <c r="CJ334" s="2484"/>
      <c r="CK334" s="2484"/>
      <c r="CL334" s="2484"/>
      <c r="CM334" s="2484"/>
      <c r="CN334" s="2484"/>
      <c r="CO334" s="2484"/>
      <c r="CP334" s="2484"/>
      <c r="CQ334" s="2484"/>
      <c r="CR334" s="2484"/>
      <c r="CS334" s="2484"/>
      <c r="CT334" s="2484"/>
      <c r="CU334" s="2484"/>
      <c r="CV334" s="2484"/>
      <c r="CW334" s="2484"/>
      <c r="CX334" s="2484"/>
      <c r="CY334" s="2484"/>
      <c r="CZ334" s="2484"/>
      <c r="DA334" s="2484"/>
      <c r="DB334" s="2484"/>
      <c r="DC334" s="2484"/>
      <c r="DD334" s="2484"/>
      <c r="DE334" s="2484"/>
      <c r="DF334" s="2484"/>
      <c r="DG334" s="2484"/>
      <c r="DH334" s="2484"/>
      <c r="DI334" s="2484"/>
      <c r="DJ334" s="2484"/>
      <c r="DK334" s="2484"/>
      <c r="DL334" s="2484"/>
      <c r="DM334" s="2484"/>
      <c r="DN334" s="2484"/>
      <c r="DO334" s="2484"/>
      <c r="DP334" s="2484"/>
      <c r="DQ334" s="2484"/>
      <c r="DR334" s="2484"/>
      <c r="DS334" s="2484"/>
      <c r="DT334" s="2484"/>
      <c r="DU334" s="2484"/>
      <c r="DV334" s="2484"/>
      <c r="DW334" s="2484"/>
      <c r="DX334" s="2484"/>
      <c r="DY334" s="2484"/>
      <c r="DZ334" s="2484"/>
      <c r="EA334" s="2484"/>
      <c r="EB334" s="2484"/>
      <c r="EC334" s="2484"/>
      <c r="ED334" s="2484"/>
      <c r="EE334" s="2484"/>
      <c r="EF334" s="2484"/>
      <c r="EG334" s="2484"/>
      <c r="EH334" s="2484"/>
      <c r="EI334" s="2484"/>
      <c r="EJ334" s="2484"/>
      <c r="EK334" s="2484"/>
      <c r="EL334" s="2484"/>
      <c r="EM334" s="2484"/>
      <c r="EN334" s="2484"/>
      <c r="EO334" s="2484"/>
      <c r="EP334" s="2484"/>
      <c r="EQ334" s="2484"/>
      <c r="ER334" s="2484"/>
      <c r="ES334" s="2484"/>
      <c r="ET334" s="2484"/>
      <c r="EU334" s="2484"/>
      <c r="EV334" s="2484"/>
      <c r="EW334" s="2484"/>
      <c r="EX334" s="2484"/>
      <c r="EY334" s="2484"/>
      <c r="EZ334" s="2484"/>
      <c r="FA334" s="2484"/>
      <c r="FB334" s="2484"/>
      <c r="FC334" s="2484"/>
      <c r="FD334" s="2484"/>
      <c r="FE334" s="2484"/>
      <c r="FF334" s="2484"/>
      <c r="FG334" s="2484"/>
      <c r="FH334" s="2484"/>
      <c r="FI334" s="2484"/>
      <c r="FJ334" s="2484"/>
      <c r="FK334" s="2484"/>
      <c r="FL334" s="2484"/>
      <c r="FM334" s="2484"/>
      <c r="FN334" s="2484"/>
      <c r="FO334" s="2484"/>
      <c r="FP334" s="2484"/>
      <c r="FQ334" s="2484"/>
      <c r="FR334" s="2484"/>
      <c r="FS334" s="2484"/>
      <c r="FT334" s="2484"/>
      <c r="FU334" s="2484"/>
      <c r="FV334" s="2484"/>
      <c r="FW334" s="2484"/>
      <c r="FX334" s="2484"/>
      <c r="FY334" s="2484"/>
      <c r="FZ334" s="2484"/>
      <c r="GA334" s="2484"/>
      <c r="GB334" s="2484"/>
      <c r="GC334" s="2484"/>
      <c r="GD334" s="2484"/>
      <c r="GE334" s="2484"/>
      <c r="GF334" s="2484"/>
      <c r="GG334" s="2484"/>
      <c r="GH334" s="2484"/>
      <c r="GI334" s="2484"/>
      <c r="GJ334" s="2484"/>
      <c r="GK334" s="2484"/>
      <c r="GL334" s="2484"/>
      <c r="GM334" s="2484"/>
      <c r="GN334" s="2484"/>
      <c r="GO334" s="2484"/>
      <c r="GP334" s="2484"/>
      <c r="GQ334" s="2484"/>
      <c r="GR334" s="2484"/>
      <c r="GS334" s="2484"/>
      <c r="GT334" s="2484"/>
      <c r="GU334" s="2484"/>
      <c r="GV334" s="2484"/>
      <c r="GW334" s="2484"/>
      <c r="GX334" s="2484"/>
      <c r="GY334" s="2484"/>
      <c r="GZ334" s="2484"/>
      <c r="HA334" s="2484"/>
      <c r="HB334" s="2484"/>
      <c r="HC334" s="2484"/>
      <c r="HD334" s="2484"/>
      <c r="HE334" s="2484"/>
      <c r="HF334" s="2484"/>
      <c r="HG334" s="2484"/>
      <c r="HH334" s="2484"/>
      <c r="HI334" s="2484"/>
      <c r="HJ334" s="2484"/>
      <c r="HK334" s="2484"/>
      <c r="HL334" s="2484"/>
      <c r="HM334" s="2484"/>
      <c r="HN334" s="2484"/>
      <c r="HO334" s="2484"/>
      <c r="HP334" s="2484"/>
      <c r="HQ334" s="2484"/>
      <c r="HR334" s="2484"/>
    </row>
    <row r="335" spans="1:226" s="2485" customFormat="1" ht="15" hidden="1" customHeight="1">
      <c r="A335" s="3151"/>
      <c r="B335" s="3152"/>
      <c r="C335" s="3153"/>
      <c r="D335" s="3154"/>
      <c r="E335" s="2508" t="s">
        <v>833</v>
      </c>
      <c r="F335" s="2509">
        <f>SUM(G335:J335)</f>
        <v>0</v>
      </c>
      <c r="G335" s="2509"/>
      <c r="H335" s="2509"/>
      <c r="I335" s="2509"/>
      <c r="J335" s="2510"/>
      <c r="K335" s="2495"/>
    </row>
    <row r="336" spans="1:226" s="2485" customFormat="1" ht="15" hidden="1" customHeight="1">
      <c r="A336" s="3151"/>
      <c r="B336" s="3152"/>
      <c r="C336" s="3153"/>
      <c r="D336" s="3154"/>
      <c r="E336" s="2508" t="s">
        <v>834</v>
      </c>
      <c r="F336" s="2509">
        <f t="shared" ref="F336:F343" si="33">SUM(G336:J336)</f>
        <v>0</v>
      </c>
      <c r="G336" s="2509"/>
      <c r="H336" s="2509"/>
      <c r="I336" s="2509"/>
      <c r="J336" s="2510"/>
      <c r="K336" s="2495"/>
    </row>
    <row r="337" spans="1:11" s="2485" customFormat="1" ht="15" hidden="1" customHeight="1">
      <c r="A337" s="3151"/>
      <c r="B337" s="3152"/>
      <c r="C337" s="3153"/>
      <c r="D337" s="3154"/>
      <c r="E337" s="2508" t="s">
        <v>651</v>
      </c>
      <c r="F337" s="2509">
        <f t="shared" si="33"/>
        <v>0</v>
      </c>
      <c r="G337" s="2509"/>
      <c r="H337" s="2509"/>
      <c r="I337" s="2509"/>
      <c r="J337" s="2510"/>
      <c r="K337" s="2495"/>
    </row>
    <row r="338" spans="1:11" s="2485" customFormat="1" ht="15" hidden="1" customHeight="1">
      <c r="A338" s="3151"/>
      <c r="B338" s="3152"/>
      <c r="C338" s="3153"/>
      <c r="D338" s="3154"/>
      <c r="E338" s="2508" t="s">
        <v>605</v>
      </c>
      <c r="F338" s="2509">
        <f t="shared" si="33"/>
        <v>0</v>
      </c>
      <c r="G338" s="2509"/>
      <c r="H338" s="2509"/>
      <c r="I338" s="2509"/>
      <c r="J338" s="2510"/>
      <c r="K338" s="2495"/>
    </row>
    <row r="339" spans="1:11" s="2485" customFormat="1" ht="15" hidden="1" customHeight="1">
      <c r="A339" s="3151"/>
      <c r="B339" s="3152"/>
      <c r="C339" s="3153"/>
      <c r="D339" s="3154"/>
      <c r="E339" s="2508" t="s">
        <v>841</v>
      </c>
      <c r="F339" s="2509">
        <f t="shared" si="33"/>
        <v>0</v>
      </c>
      <c r="G339" s="2509"/>
      <c r="H339" s="2509"/>
      <c r="I339" s="2509"/>
      <c r="J339" s="2510"/>
      <c r="K339" s="2495"/>
    </row>
    <row r="340" spans="1:11" s="2485" customFormat="1" ht="15" hidden="1" customHeight="1">
      <c r="A340" s="3151"/>
      <c r="B340" s="3152"/>
      <c r="C340" s="3153"/>
      <c r="D340" s="3154"/>
      <c r="E340" s="2508" t="s">
        <v>747</v>
      </c>
      <c r="F340" s="2509">
        <f t="shared" si="33"/>
        <v>0</v>
      </c>
      <c r="G340" s="2509"/>
      <c r="H340" s="2509"/>
      <c r="I340" s="2509"/>
      <c r="J340" s="2510"/>
      <c r="K340" s="2495"/>
    </row>
    <row r="341" spans="1:11" s="2485" customFormat="1" ht="15" hidden="1" customHeight="1">
      <c r="A341" s="3151"/>
      <c r="B341" s="3152"/>
      <c r="C341" s="3153"/>
      <c r="D341" s="3154"/>
      <c r="E341" s="2508" t="s">
        <v>652</v>
      </c>
      <c r="F341" s="2509">
        <f t="shared" si="33"/>
        <v>0</v>
      </c>
      <c r="G341" s="2509"/>
      <c r="H341" s="2509"/>
      <c r="I341" s="2509"/>
      <c r="J341" s="2510"/>
      <c r="K341" s="2495"/>
    </row>
    <row r="342" spans="1:11" s="2485" customFormat="1" ht="15" hidden="1" customHeight="1">
      <c r="A342" s="3151"/>
      <c r="B342" s="3152"/>
      <c r="C342" s="3153"/>
      <c r="D342" s="3154"/>
      <c r="E342" s="2508" t="s">
        <v>609</v>
      </c>
      <c r="F342" s="2509">
        <f t="shared" si="33"/>
        <v>0</v>
      </c>
      <c r="G342" s="2509"/>
      <c r="H342" s="2509"/>
      <c r="I342" s="2509"/>
      <c r="J342" s="2510"/>
      <c r="K342" s="2495"/>
    </row>
    <row r="343" spans="1:11" s="2485" customFormat="1" ht="15" hidden="1" customHeight="1">
      <c r="A343" s="3151"/>
      <c r="B343" s="3152"/>
      <c r="C343" s="3153"/>
      <c r="D343" s="3154"/>
      <c r="E343" s="2508" t="s">
        <v>845</v>
      </c>
      <c r="F343" s="2509">
        <f t="shared" si="33"/>
        <v>0</v>
      </c>
      <c r="G343" s="2509"/>
      <c r="H343" s="2509"/>
      <c r="I343" s="2509"/>
      <c r="J343" s="2510"/>
      <c r="K343" s="2495"/>
    </row>
    <row r="344" spans="1:11" s="2485" customFormat="1" ht="15" hidden="1" customHeight="1">
      <c r="A344" s="3151"/>
      <c r="B344" s="3152"/>
      <c r="C344" s="3153"/>
      <c r="D344" s="3154"/>
      <c r="E344" s="2508" t="s">
        <v>774</v>
      </c>
      <c r="F344" s="2509">
        <f>SUM(G344:J344)</f>
        <v>0</v>
      </c>
      <c r="G344" s="2509"/>
      <c r="H344" s="2509"/>
      <c r="I344" s="2509"/>
      <c r="J344" s="2510"/>
      <c r="K344" s="2495"/>
    </row>
    <row r="345" spans="1:11" s="2485" customFormat="1" ht="15" hidden="1" customHeight="1">
      <c r="A345" s="3151"/>
      <c r="B345" s="3152"/>
      <c r="C345" s="3153"/>
      <c r="D345" s="3154"/>
      <c r="E345" s="2521" t="s">
        <v>1087</v>
      </c>
      <c r="F345" s="2516">
        <f>SUM(F346:F347)</f>
        <v>0</v>
      </c>
      <c r="G345" s="2516">
        <f>SUM(G346:G347)</f>
        <v>0</v>
      </c>
      <c r="H345" s="2516">
        <f>SUM(H346:H347)</f>
        <v>0</v>
      </c>
      <c r="I345" s="2516">
        <f>SUM(I346:I347)</f>
        <v>0</v>
      </c>
      <c r="J345" s="2517">
        <f>SUM(J346:J347)</f>
        <v>0</v>
      </c>
      <c r="K345" s="2482"/>
    </row>
    <row r="346" spans="1:11" s="2485" customFormat="1" ht="15" hidden="1" customHeight="1">
      <c r="A346" s="2504"/>
      <c r="B346" s="2505"/>
      <c r="C346" s="2506"/>
      <c r="D346" s="2507"/>
      <c r="E346" s="2508"/>
      <c r="F346" s="2509">
        <f>SUM(G346:J346)</f>
        <v>0</v>
      </c>
      <c r="G346" s="2509"/>
      <c r="H346" s="2509"/>
      <c r="I346" s="2509"/>
      <c r="J346" s="2510"/>
      <c r="K346" s="2482"/>
    </row>
    <row r="347" spans="1:11" s="2485" customFormat="1" ht="15" hidden="1" customHeight="1">
      <c r="A347" s="2504"/>
      <c r="B347" s="2505"/>
      <c r="C347" s="2506"/>
      <c r="D347" s="2507"/>
      <c r="E347" s="2522"/>
      <c r="F347" s="2509">
        <f t="shared" ref="F347" si="34">SUM(G347:J347)</f>
        <v>0</v>
      </c>
      <c r="G347" s="2509"/>
      <c r="H347" s="2509"/>
      <c r="I347" s="2509"/>
      <c r="J347" s="2510"/>
      <c r="K347" s="2482"/>
    </row>
    <row r="348" spans="1:11" s="2523" customFormat="1" ht="22.5">
      <c r="A348" s="3112" t="s">
        <v>1128</v>
      </c>
      <c r="B348" s="3113" t="s">
        <v>1129</v>
      </c>
      <c r="C348" s="3114">
        <v>921</v>
      </c>
      <c r="D348" s="3134" t="s">
        <v>951</v>
      </c>
      <c r="E348" s="2479" t="s">
        <v>1086</v>
      </c>
      <c r="F348" s="2480">
        <f>SUM(F349,F356)</f>
        <v>1903295</v>
      </c>
      <c r="G348" s="2480">
        <f>SUM(G349,G356)</f>
        <v>1903295</v>
      </c>
      <c r="H348" s="2480">
        <f>SUM(H349,H356)</f>
        <v>0</v>
      </c>
      <c r="I348" s="2480">
        <f>SUM(I349,I356)</f>
        <v>0</v>
      </c>
      <c r="J348" s="2481">
        <f>SUM(J349,J356)</f>
        <v>0</v>
      </c>
      <c r="K348" s="2482"/>
    </row>
    <row r="349" spans="1:11" s="2523" customFormat="1" ht="21">
      <c r="A349" s="3112"/>
      <c r="B349" s="3113"/>
      <c r="C349" s="3114"/>
      <c r="D349" s="3134"/>
      <c r="E349" s="2486" t="s">
        <v>1092</v>
      </c>
      <c r="F349" s="2487">
        <f>SUM(F350,F353)</f>
        <v>0</v>
      </c>
      <c r="G349" s="2487">
        <f>SUM(G350,G353)</f>
        <v>0</v>
      </c>
      <c r="H349" s="2487">
        <f>SUM(H350,H353)</f>
        <v>0</v>
      </c>
      <c r="I349" s="2487">
        <f>SUM(I350,I353)</f>
        <v>0</v>
      </c>
      <c r="J349" s="2488">
        <f>SUM(J350,J353)</f>
        <v>0</v>
      </c>
      <c r="K349" s="2482"/>
    </row>
    <row r="350" spans="1:11" s="2523" customFormat="1" ht="22.5" hidden="1">
      <c r="A350" s="3112"/>
      <c r="B350" s="3113"/>
      <c r="C350" s="3114"/>
      <c r="D350" s="3134"/>
      <c r="E350" s="2497" t="s">
        <v>1093</v>
      </c>
      <c r="F350" s="2498">
        <f>SUM(F351:F352)</f>
        <v>0</v>
      </c>
      <c r="G350" s="2498">
        <f>SUM(G351:G352)</f>
        <v>0</v>
      </c>
      <c r="H350" s="2498">
        <f>SUM(H351:H352)</f>
        <v>0</v>
      </c>
      <c r="I350" s="2498">
        <f>SUM(I351:I352)</f>
        <v>0</v>
      </c>
      <c r="J350" s="2499">
        <f>SUM(J351:J352)</f>
        <v>0</v>
      </c>
      <c r="K350" s="2482"/>
    </row>
    <row r="351" spans="1:11" s="2523" customFormat="1" ht="15" hidden="1" customHeight="1">
      <c r="A351" s="3112"/>
      <c r="B351" s="3113"/>
      <c r="C351" s="3114"/>
      <c r="D351" s="3134"/>
      <c r="E351" s="2489"/>
      <c r="F351" s="2490">
        <f>SUM(G351:J351)</f>
        <v>0</v>
      </c>
      <c r="G351" s="2490"/>
      <c r="H351" s="2490"/>
      <c r="I351" s="2490"/>
      <c r="J351" s="2491"/>
      <c r="K351" s="2482"/>
    </row>
    <row r="352" spans="1:11" s="2523" customFormat="1" ht="15" hidden="1" customHeight="1">
      <c r="A352" s="3112"/>
      <c r="B352" s="3113"/>
      <c r="C352" s="3114"/>
      <c r="D352" s="3134"/>
      <c r="E352" s="2489"/>
      <c r="F352" s="2490">
        <f t="shared" ref="F352" si="35">SUM(G352:J352)</f>
        <v>0</v>
      </c>
      <c r="G352" s="2490"/>
      <c r="H352" s="2490"/>
      <c r="I352" s="2490"/>
      <c r="J352" s="2491"/>
      <c r="K352" s="2482"/>
    </row>
    <row r="353" spans="1:226" s="2523" customFormat="1" ht="22.5" hidden="1">
      <c r="A353" s="3112"/>
      <c r="B353" s="3113"/>
      <c r="C353" s="3114"/>
      <c r="D353" s="3134"/>
      <c r="E353" s="2497" t="s">
        <v>1094</v>
      </c>
      <c r="F353" s="2498">
        <f>SUM(F354:F355)</f>
        <v>0</v>
      </c>
      <c r="G353" s="2498">
        <f>SUM(G354:G355)</f>
        <v>0</v>
      </c>
      <c r="H353" s="2498">
        <f>SUM(H354:H355)</f>
        <v>0</v>
      </c>
      <c r="I353" s="2498">
        <f>SUM(I354:I355)</f>
        <v>0</v>
      </c>
      <c r="J353" s="2499">
        <f>SUM(J354:J355)</f>
        <v>0</v>
      </c>
      <c r="K353" s="2482"/>
      <c r="L353" s="2482"/>
      <c r="M353" s="2482"/>
      <c r="N353" s="2482"/>
      <c r="O353" s="2482"/>
      <c r="P353" s="2482"/>
      <c r="Q353" s="2482"/>
      <c r="R353" s="2482"/>
      <c r="S353" s="2482"/>
      <c r="T353" s="2482"/>
      <c r="U353" s="2482"/>
      <c r="V353" s="2482"/>
      <c r="W353" s="2482"/>
      <c r="X353" s="2482"/>
      <c r="Y353" s="2482"/>
      <c r="Z353" s="2482"/>
      <c r="AA353" s="2482"/>
      <c r="AB353" s="2482"/>
      <c r="AC353" s="2482"/>
      <c r="AD353" s="2482"/>
      <c r="AE353" s="2482"/>
      <c r="AF353" s="2482"/>
      <c r="AG353" s="2482"/>
      <c r="AH353" s="2482"/>
      <c r="AI353" s="2482"/>
      <c r="AJ353" s="2482"/>
      <c r="AK353" s="2482"/>
      <c r="AL353" s="2482"/>
      <c r="AM353" s="2482"/>
      <c r="AN353" s="2482"/>
      <c r="AO353" s="2482"/>
      <c r="AP353" s="2482"/>
      <c r="AQ353" s="2482"/>
      <c r="AR353" s="2482"/>
      <c r="AS353" s="2482"/>
      <c r="AT353" s="2482"/>
      <c r="AU353" s="2482"/>
      <c r="AV353" s="2482"/>
      <c r="AW353" s="2482"/>
      <c r="AX353" s="2482"/>
      <c r="AY353" s="2482"/>
      <c r="AZ353" s="2482"/>
      <c r="BA353" s="2482"/>
      <c r="BB353" s="2482"/>
      <c r="BC353" s="2482"/>
      <c r="BD353" s="2482"/>
      <c r="BE353" s="2482"/>
      <c r="BF353" s="2482"/>
      <c r="BG353" s="2482"/>
      <c r="BH353" s="2482"/>
      <c r="BI353" s="2482"/>
      <c r="BJ353" s="2482"/>
      <c r="BK353" s="2482"/>
      <c r="BL353" s="2482"/>
      <c r="BM353" s="2482"/>
      <c r="BN353" s="2482"/>
      <c r="BO353" s="2482"/>
      <c r="BP353" s="2482"/>
      <c r="BQ353" s="2482"/>
      <c r="BR353" s="2482"/>
      <c r="BS353" s="2482"/>
      <c r="BT353" s="2482"/>
      <c r="BU353" s="2482"/>
      <c r="BV353" s="2482"/>
      <c r="BW353" s="2482"/>
      <c r="BX353" s="2482"/>
      <c r="BY353" s="2482"/>
      <c r="BZ353" s="2482"/>
      <c r="CA353" s="2482"/>
      <c r="CB353" s="2482"/>
      <c r="CC353" s="2482"/>
      <c r="CD353" s="2482"/>
      <c r="CE353" s="2482"/>
      <c r="CF353" s="2482"/>
      <c r="CG353" s="2482"/>
      <c r="CH353" s="2482"/>
      <c r="CI353" s="2482"/>
      <c r="CJ353" s="2482"/>
      <c r="CK353" s="2482"/>
      <c r="CL353" s="2482"/>
      <c r="CM353" s="2482"/>
      <c r="CN353" s="2482"/>
      <c r="CO353" s="2482"/>
      <c r="CP353" s="2482"/>
      <c r="CQ353" s="2482"/>
      <c r="CR353" s="2482"/>
      <c r="CS353" s="2482"/>
      <c r="CT353" s="2482"/>
      <c r="CU353" s="2482"/>
      <c r="CV353" s="2482"/>
      <c r="CW353" s="2482"/>
      <c r="CX353" s="2482"/>
      <c r="CY353" s="2482"/>
      <c r="CZ353" s="2482"/>
      <c r="DA353" s="2482"/>
      <c r="DB353" s="2482"/>
      <c r="DC353" s="2482"/>
      <c r="DD353" s="2482"/>
      <c r="DE353" s="2482"/>
      <c r="DF353" s="2482"/>
      <c r="DG353" s="2482"/>
      <c r="DH353" s="2482"/>
      <c r="DI353" s="2482"/>
      <c r="DJ353" s="2482"/>
      <c r="DK353" s="2482"/>
      <c r="DL353" s="2482"/>
      <c r="DM353" s="2482"/>
      <c r="DN353" s="2482"/>
      <c r="DO353" s="2482"/>
      <c r="DP353" s="2482"/>
      <c r="DQ353" s="2482"/>
      <c r="DR353" s="2482"/>
      <c r="DS353" s="2482"/>
      <c r="DT353" s="2482"/>
      <c r="DU353" s="2482"/>
      <c r="DV353" s="2482"/>
      <c r="DW353" s="2482"/>
      <c r="DX353" s="2482"/>
      <c r="DY353" s="2482"/>
      <c r="DZ353" s="2482"/>
      <c r="EA353" s="2482"/>
      <c r="EB353" s="2482"/>
      <c r="EC353" s="2482"/>
      <c r="ED353" s="2482"/>
      <c r="EE353" s="2482"/>
      <c r="EF353" s="2482"/>
      <c r="EG353" s="2482"/>
      <c r="EH353" s="2482"/>
      <c r="EI353" s="2482"/>
      <c r="EJ353" s="2482"/>
      <c r="EK353" s="2482"/>
      <c r="EL353" s="2482"/>
      <c r="EM353" s="2482"/>
      <c r="EN353" s="2482"/>
      <c r="EO353" s="2482"/>
      <c r="EP353" s="2482"/>
      <c r="EQ353" s="2482"/>
      <c r="ER353" s="2482"/>
      <c r="ES353" s="2482"/>
      <c r="ET353" s="2482"/>
      <c r="EU353" s="2482"/>
      <c r="EV353" s="2482"/>
      <c r="EW353" s="2482"/>
      <c r="EX353" s="2482"/>
      <c r="EY353" s="2482"/>
      <c r="EZ353" s="2482"/>
      <c r="FA353" s="2482"/>
      <c r="FB353" s="2482"/>
      <c r="FC353" s="2482"/>
      <c r="FD353" s="2482"/>
      <c r="FE353" s="2482"/>
      <c r="FF353" s="2482"/>
      <c r="FG353" s="2482"/>
      <c r="FH353" s="2482"/>
      <c r="FI353" s="2482"/>
      <c r="FJ353" s="2482"/>
      <c r="FK353" s="2482"/>
      <c r="FL353" s="2482"/>
      <c r="FM353" s="2482"/>
      <c r="FN353" s="2482"/>
      <c r="FO353" s="2482"/>
      <c r="FP353" s="2482"/>
      <c r="FQ353" s="2482"/>
      <c r="FR353" s="2482"/>
      <c r="FS353" s="2482"/>
      <c r="FT353" s="2482"/>
      <c r="FU353" s="2482"/>
      <c r="FV353" s="2482"/>
      <c r="FW353" s="2482"/>
      <c r="FX353" s="2482"/>
      <c r="FY353" s="2482"/>
      <c r="FZ353" s="2482"/>
      <c r="GA353" s="2482"/>
      <c r="GB353" s="2482"/>
      <c r="GC353" s="2482"/>
      <c r="GD353" s="2482"/>
      <c r="GE353" s="2482"/>
      <c r="GF353" s="2482"/>
      <c r="GG353" s="2482"/>
      <c r="GH353" s="2482"/>
      <c r="GI353" s="2482"/>
      <c r="GJ353" s="2482"/>
      <c r="GK353" s="2482"/>
      <c r="GL353" s="2482"/>
      <c r="GM353" s="2482"/>
      <c r="GN353" s="2482"/>
      <c r="GO353" s="2482"/>
      <c r="GP353" s="2482"/>
      <c r="GQ353" s="2482"/>
      <c r="GR353" s="2482"/>
      <c r="GS353" s="2482"/>
      <c r="GT353" s="2482"/>
      <c r="GU353" s="2482"/>
      <c r="GV353" s="2482"/>
      <c r="GW353" s="2482"/>
      <c r="GX353" s="2482"/>
      <c r="GY353" s="2482"/>
      <c r="GZ353" s="2482"/>
      <c r="HA353" s="2482"/>
      <c r="HB353" s="2482"/>
      <c r="HC353" s="2482"/>
      <c r="HD353" s="2482"/>
      <c r="HE353" s="2482"/>
      <c r="HF353" s="2482"/>
      <c r="HG353" s="2482"/>
      <c r="HH353" s="2482"/>
      <c r="HI353" s="2482"/>
      <c r="HJ353" s="2482"/>
      <c r="HK353" s="2482"/>
      <c r="HL353" s="2482"/>
      <c r="HM353" s="2482"/>
      <c r="HN353" s="2482"/>
      <c r="HO353" s="2482"/>
      <c r="HP353" s="2482"/>
      <c r="HQ353" s="2482"/>
      <c r="HR353" s="2482"/>
    </row>
    <row r="354" spans="1:226" s="2523" customFormat="1" ht="15" hidden="1" customHeight="1">
      <c r="A354" s="3112"/>
      <c r="B354" s="3113"/>
      <c r="C354" s="3114"/>
      <c r="D354" s="3134"/>
      <c r="E354" s="2489"/>
      <c r="F354" s="2490">
        <f>SUM(G354:J354)</f>
        <v>0</v>
      </c>
      <c r="G354" s="2490"/>
      <c r="H354" s="2490"/>
      <c r="I354" s="2490"/>
      <c r="J354" s="2491"/>
      <c r="K354" s="2482"/>
    </row>
    <row r="355" spans="1:226" s="2523" customFormat="1" ht="15" hidden="1" customHeight="1">
      <c r="A355" s="3112"/>
      <c r="B355" s="3113"/>
      <c r="C355" s="3114"/>
      <c r="D355" s="3134"/>
      <c r="E355" s="2489"/>
      <c r="F355" s="2490">
        <f t="shared" ref="F355" si="36">SUM(G355:J355)</f>
        <v>0</v>
      </c>
      <c r="G355" s="2490">
        <f>140000-140000</f>
        <v>0</v>
      </c>
      <c r="H355" s="2490"/>
      <c r="I355" s="2490"/>
      <c r="J355" s="2491"/>
      <c r="K355" s="2482"/>
    </row>
    <row r="356" spans="1:226" s="2523" customFormat="1" ht="15" customHeight="1">
      <c r="A356" s="3112"/>
      <c r="B356" s="3113"/>
      <c r="C356" s="3114"/>
      <c r="D356" s="3134"/>
      <c r="E356" s="2492" t="s">
        <v>1087</v>
      </c>
      <c r="F356" s="2487">
        <f>SUM(F357:F358)</f>
        <v>1903295</v>
      </c>
      <c r="G356" s="2487">
        <f>SUM(G357:G358)</f>
        <v>1903295</v>
      </c>
      <c r="H356" s="2487">
        <f>SUM(H357:H358)</f>
        <v>0</v>
      </c>
      <c r="I356" s="2487">
        <f>SUM(I357:I358)</f>
        <v>0</v>
      </c>
      <c r="J356" s="2488">
        <f>SUM(J357:J358)</f>
        <v>0</v>
      </c>
      <c r="K356" s="2482"/>
    </row>
    <row r="357" spans="1:226" s="2523" customFormat="1" ht="15" customHeight="1">
      <c r="A357" s="3112"/>
      <c r="B357" s="3113"/>
      <c r="C357" s="3114"/>
      <c r="D357" s="3134"/>
      <c r="E357" s="2489" t="s">
        <v>865</v>
      </c>
      <c r="F357" s="2490">
        <f>SUM(G357:J357)</f>
        <v>246239</v>
      </c>
      <c r="G357" s="2490">
        <v>246239</v>
      </c>
      <c r="H357" s="2490"/>
      <c r="I357" s="2490"/>
      <c r="J357" s="2491"/>
      <c r="K357" s="2482"/>
    </row>
    <row r="358" spans="1:226" s="2523" customFormat="1" ht="15" customHeight="1">
      <c r="A358" s="3112"/>
      <c r="B358" s="3113"/>
      <c r="C358" s="3114"/>
      <c r="D358" s="3134"/>
      <c r="E358" s="2503">
        <v>6229</v>
      </c>
      <c r="F358" s="2490">
        <f t="shared" ref="F358" si="37">SUM(G358:J358)</f>
        <v>1657056</v>
      </c>
      <c r="G358" s="2490">
        <v>1657056</v>
      </c>
      <c r="H358" s="2490"/>
      <c r="I358" s="2490"/>
      <c r="J358" s="2491"/>
      <c r="K358" s="2482"/>
    </row>
    <row r="359" spans="1:226" s="2485" customFormat="1" ht="22.5">
      <c r="A359" s="3112" t="s">
        <v>1124</v>
      </c>
      <c r="B359" s="3113" t="s">
        <v>1130</v>
      </c>
      <c r="C359" s="3114">
        <v>921</v>
      </c>
      <c r="D359" s="3134" t="s">
        <v>966</v>
      </c>
      <c r="E359" s="2479" t="s">
        <v>1086</v>
      </c>
      <c r="F359" s="2480">
        <f>SUM(F360,F367)</f>
        <v>5515380</v>
      </c>
      <c r="G359" s="2480">
        <f>SUM(G360,G367)</f>
        <v>827307</v>
      </c>
      <c r="H359" s="2480">
        <f>SUM(H360,H367)</f>
        <v>4688073</v>
      </c>
      <c r="I359" s="2480">
        <f>SUM(I360,I367)</f>
        <v>0</v>
      </c>
      <c r="J359" s="2481">
        <f>SUM(J360,J367)</f>
        <v>0</v>
      </c>
      <c r="K359" s="2482"/>
    </row>
    <row r="360" spans="1:226" s="2485" customFormat="1" ht="21">
      <c r="A360" s="3112"/>
      <c r="B360" s="3113"/>
      <c r="C360" s="3114"/>
      <c r="D360" s="3134"/>
      <c r="E360" s="2486" t="s">
        <v>1092</v>
      </c>
      <c r="F360" s="2487">
        <f>SUM(F361,F364)</f>
        <v>0</v>
      </c>
      <c r="G360" s="2487">
        <f>SUM(G361,G364)</f>
        <v>0</v>
      </c>
      <c r="H360" s="2487">
        <f>SUM(H361,H364)</f>
        <v>0</v>
      </c>
      <c r="I360" s="2487">
        <f>SUM(I361,I364)</f>
        <v>0</v>
      </c>
      <c r="J360" s="2488">
        <f>SUM(J361,J364)</f>
        <v>0</v>
      </c>
      <c r="K360" s="2482"/>
    </row>
    <row r="361" spans="1:226" s="2485" customFormat="1" ht="15" hidden="1" customHeight="1">
      <c r="A361" s="3112"/>
      <c r="B361" s="3113"/>
      <c r="C361" s="3114"/>
      <c r="D361" s="3134"/>
      <c r="E361" s="2497" t="s">
        <v>1093</v>
      </c>
      <c r="F361" s="2498">
        <f>SUM(F362:F363)</f>
        <v>0</v>
      </c>
      <c r="G361" s="2498">
        <f>SUM(G362:G363)</f>
        <v>0</v>
      </c>
      <c r="H361" s="2498">
        <f>SUM(H362:H363)</f>
        <v>0</v>
      </c>
      <c r="I361" s="2498">
        <f>SUM(I362:I363)</f>
        <v>0</v>
      </c>
      <c r="J361" s="2499">
        <f>SUM(J362:J363)</f>
        <v>0</v>
      </c>
      <c r="K361" s="2482"/>
    </row>
    <row r="362" spans="1:226" s="2485" customFormat="1" ht="15" hidden="1" customHeight="1">
      <c r="A362" s="3112"/>
      <c r="B362" s="3113"/>
      <c r="C362" s="3114"/>
      <c r="D362" s="3134"/>
      <c r="E362" s="2489"/>
      <c r="F362" s="2490">
        <f>SUM(G362:J362)</f>
        <v>0</v>
      </c>
      <c r="G362" s="2490"/>
      <c r="H362" s="2490"/>
      <c r="I362" s="2490"/>
      <c r="J362" s="2491"/>
      <c r="K362" s="2482"/>
    </row>
    <row r="363" spans="1:226" s="2485" customFormat="1" ht="15" hidden="1" customHeight="1">
      <c r="A363" s="3112"/>
      <c r="B363" s="3113"/>
      <c r="C363" s="3114"/>
      <c r="D363" s="3134"/>
      <c r="E363" s="2489"/>
      <c r="F363" s="2490">
        <f t="shared" ref="F363" si="38">SUM(G363:J363)</f>
        <v>0</v>
      </c>
      <c r="G363" s="2490"/>
      <c r="H363" s="2490"/>
      <c r="I363" s="2490"/>
      <c r="J363" s="2491"/>
      <c r="K363" s="2482"/>
    </row>
    <row r="364" spans="1:226" s="2485" customFormat="1" ht="15" hidden="1" customHeight="1">
      <c r="A364" s="3112"/>
      <c r="B364" s="3113"/>
      <c r="C364" s="3114"/>
      <c r="D364" s="3134"/>
      <c r="E364" s="2497" t="s">
        <v>1094</v>
      </c>
      <c r="F364" s="2498">
        <f>SUM(F365:F366)</f>
        <v>0</v>
      </c>
      <c r="G364" s="2498">
        <f>SUM(G365:G366)</f>
        <v>0</v>
      </c>
      <c r="H364" s="2498">
        <f>SUM(H365:H366)</f>
        <v>0</v>
      </c>
      <c r="I364" s="2498">
        <f>SUM(I365:I366)</f>
        <v>0</v>
      </c>
      <c r="J364" s="2499">
        <f>SUM(J365:J366)</f>
        <v>0</v>
      </c>
      <c r="K364" s="2482"/>
      <c r="L364" s="2484"/>
      <c r="M364" s="2484"/>
      <c r="N364" s="2484"/>
      <c r="O364" s="2484"/>
      <c r="P364" s="2484"/>
      <c r="Q364" s="2484"/>
      <c r="R364" s="2484"/>
      <c r="S364" s="2484"/>
      <c r="T364" s="2484"/>
      <c r="U364" s="2484"/>
      <c r="V364" s="2484"/>
      <c r="W364" s="2484"/>
      <c r="X364" s="2484"/>
      <c r="Y364" s="2484"/>
      <c r="Z364" s="2484"/>
      <c r="AA364" s="2484"/>
      <c r="AB364" s="2484"/>
      <c r="AC364" s="2484"/>
      <c r="AD364" s="2484"/>
      <c r="AE364" s="2484"/>
      <c r="AF364" s="2484"/>
      <c r="AG364" s="2484"/>
      <c r="AH364" s="2484"/>
      <c r="AI364" s="2484"/>
      <c r="AJ364" s="2484"/>
      <c r="AK364" s="2484"/>
      <c r="AL364" s="2484"/>
      <c r="AM364" s="2484"/>
      <c r="AN364" s="2484"/>
      <c r="AO364" s="2484"/>
      <c r="AP364" s="2484"/>
      <c r="AQ364" s="2484"/>
      <c r="AR364" s="2484"/>
      <c r="AS364" s="2484"/>
      <c r="AT364" s="2484"/>
      <c r="AU364" s="2484"/>
      <c r="AV364" s="2484"/>
      <c r="AW364" s="2484"/>
      <c r="AX364" s="2484"/>
      <c r="AY364" s="2484"/>
      <c r="AZ364" s="2484"/>
      <c r="BA364" s="2484"/>
      <c r="BB364" s="2484"/>
      <c r="BC364" s="2484"/>
      <c r="BD364" s="2484"/>
      <c r="BE364" s="2484"/>
      <c r="BF364" s="2484"/>
      <c r="BG364" s="2484"/>
      <c r="BH364" s="2484"/>
      <c r="BI364" s="2484"/>
      <c r="BJ364" s="2484"/>
      <c r="BK364" s="2484"/>
      <c r="BL364" s="2484"/>
      <c r="BM364" s="2484"/>
      <c r="BN364" s="2484"/>
      <c r="BO364" s="2484"/>
      <c r="BP364" s="2484"/>
      <c r="BQ364" s="2484"/>
      <c r="BR364" s="2484"/>
      <c r="BS364" s="2484"/>
      <c r="BT364" s="2484"/>
      <c r="BU364" s="2484"/>
      <c r="BV364" s="2484"/>
      <c r="BW364" s="2484"/>
      <c r="BX364" s="2484"/>
      <c r="BY364" s="2484"/>
      <c r="BZ364" s="2484"/>
      <c r="CA364" s="2484"/>
      <c r="CB364" s="2484"/>
      <c r="CC364" s="2484"/>
      <c r="CD364" s="2484"/>
      <c r="CE364" s="2484"/>
      <c r="CF364" s="2484"/>
      <c r="CG364" s="2484"/>
      <c r="CH364" s="2484"/>
      <c r="CI364" s="2484"/>
      <c r="CJ364" s="2484"/>
      <c r="CK364" s="2484"/>
      <c r="CL364" s="2484"/>
      <c r="CM364" s="2484"/>
      <c r="CN364" s="2484"/>
      <c r="CO364" s="2484"/>
      <c r="CP364" s="2484"/>
      <c r="CQ364" s="2484"/>
      <c r="CR364" s="2484"/>
      <c r="CS364" s="2484"/>
      <c r="CT364" s="2484"/>
      <c r="CU364" s="2484"/>
      <c r="CV364" s="2484"/>
      <c r="CW364" s="2484"/>
      <c r="CX364" s="2484"/>
      <c r="CY364" s="2484"/>
      <c r="CZ364" s="2484"/>
      <c r="DA364" s="2484"/>
      <c r="DB364" s="2484"/>
      <c r="DC364" s="2484"/>
      <c r="DD364" s="2484"/>
      <c r="DE364" s="2484"/>
      <c r="DF364" s="2484"/>
      <c r="DG364" s="2484"/>
      <c r="DH364" s="2484"/>
      <c r="DI364" s="2484"/>
      <c r="DJ364" s="2484"/>
      <c r="DK364" s="2484"/>
      <c r="DL364" s="2484"/>
      <c r="DM364" s="2484"/>
      <c r="DN364" s="2484"/>
      <c r="DO364" s="2484"/>
      <c r="DP364" s="2484"/>
      <c r="DQ364" s="2484"/>
      <c r="DR364" s="2484"/>
      <c r="DS364" s="2484"/>
      <c r="DT364" s="2484"/>
      <c r="DU364" s="2484"/>
      <c r="DV364" s="2484"/>
      <c r="DW364" s="2484"/>
      <c r="DX364" s="2484"/>
      <c r="DY364" s="2484"/>
      <c r="DZ364" s="2484"/>
      <c r="EA364" s="2484"/>
      <c r="EB364" s="2484"/>
      <c r="EC364" s="2484"/>
      <c r="ED364" s="2484"/>
      <c r="EE364" s="2484"/>
      <c r="EF364" s="2484"/>
      <c r="EG364" s="2484"/>
      <c r="EH364" s="2484"/>
      <c r="EI364" s="2484"/>
      <c r="EJ364" s="2484"/>
      <c r="EK364" s="2484"/>
      <c r="EL364" s="2484"/>
      <c r="EM364" s="2484"/>
      <c r="EN364" s="2484"/>
      <c r="EO364" s="2484"/>
      <c r="EP364" s="2484"/>
      <c r="EQ364" s="2484"/>
      <c r="ER364" s="2484"/>
      <c r="ES364" s="2484"/>
      <c r="ET364" s="2484"/>
      <c r="EU364" s="2484"/>
      <c r="EV364" s="2484"/>
      <c r="EW364" s="2484"/>
      <c r="EX364" s="2484"/>
      <c r="EY364" s="2484"/>
      <c r="EZ364" s="2484"/>
      <c r="FA364" s="2484"/>
      <c r="FB364" s="2484"/>
      <c r="FC364" s="2484"/>
      <c r="FD364" s="2484"/>
      <c r="FE364" s="2484"/>
      <c r="FF364" s="2484"/>
      <c r="FG364" s="2484"/>
      <c r="FH364" s="2484"/>
      <c r="FI364" s="2484"/>
      <c r="FJ364" s="2484"/>
      <c r="FK364" s="2484"/>
      <c r="FL364" s="2484"/>
      <c r="FM364" s="2484"/>
      <c r="FN364" s="2484"/>
      <c r="FO364" s="2484"/>
      <c r="FP364" s="2484"/>
      <c r="FQ364" s="2484"/>
      <c r="FR364" s="2484"/>
      <c r="FS364" s="2484"/>
      <c r="FT364" s="2484"/>
      <c r="FU364" s="2484"/>
      <c r="FV364" s="2484"/>
      <c r="FW364" s="2484"/>
      <c r="FX364" s="2484"/>
      <c r="FY364" s="2484"/>
      <c r="FZ364" s="2484"/>
      <c r="GA364" s="2484"/>
      <c r="GB364" s="2484"/>
      <c r="GC364" s="2484"/>
      <c r="GD364" s="2484"/>
      <c r="GE364" s="2484"/>
      <c r="GF364" s="2484"/>
      <c r="GG364" s="2484"/>
      <c r="GH364" s="2484"/>
      <c r="GI364" s="2484"/>
      <c r="GJ364" s="2484"/>
      <c r="GK364" s="2484"/>
      <c r="GL364" s="2484"/>
      <c r="GM364" s="2484"/>
      <c r="GN364" s="2484"/>
      <c r="GO364" s="2484"/>
      <c r="GP364" s="2484"/>
      <c r="GQ364" s="2484"/>
      <c r="GR364" s="2484"/>
      <c r="GS364" s="2484"/>
      <c r="GT364" s="2484"/>
      <c r="GU364" s="2484"/>
      <c r="GV364" s="2484"/>
      <c r="GW364" s="2484"/>
      <c r="GX364" s="2484"/>
      <c r="GY364" s="2484"/>
      <c r="GZ364" s="2484"/>
      <c r="HA364" s="2484"/>
      <c r="HB364" s="2484"/>
      <c r="HC364" s="2484"/>
      <c r="HD364" s="2484"/>
      <c r="HE364" s="2484"/>
      <c r="HF364" s="2484"/>
      <c r="HG364" s="2484"/>
      <c r="HH364" s="2484"/>
      <c r="HI364" s="2484"/>
      <c r="HJ364" s="2484"/>
      <c r="HK364" s="2484"/>
      <c r="HL364" s="2484"/>
      <c r="HM364" s="2484"/>
      <c r="HN364" s="2484"/>
      <c r="HO364" s="2484"/>
      <c r="HP364" s="2484"/>
      <c r="HQ364" s="2484"/>
      <c r="HR364" s="2484"/>
    </row>
    <row r="365" spans="1:226" s="2485" customFormat="1" ht="15" hidden="1" customHeight="1">
      <c r="A365" s="3112"/>
      <c r="B365" s="3113"/>
      <c r="C365" s="3114"/>
      <c r="D365" s="3134"/>
      <c r="E365" s="2489"/>
      <c r="F365" s="2490">
        <f>SUM(G365:J365)</f>
        <v>0</v>
      </c>
      <c r="G365" s="2490"/>
      <c r="H365" s="2490"/>
      <c r="I365" s="2490"/>
      <c r="J365" s="2491"/>
      <c r="K365" s="2482"/>
    </row>
    <row r="366" spans="1:226" s="2485" customFormat="1" ht="15" hidden="1" customHeight="1">
      <c r="A366" s="3112"/>
      <c r="B366" s="3113"/>
      <c r="C366" s="3114"/>
      <c r="D366" s="3134"/>
      <c r="E366" s="2489"/>
      <c r="F366" s="2490">
        <f t="shared" ref="F366" si="39">SUM(G366:J366)</f>
        <v>0</v>
      </c>
      <c r="G366" s="2490">
        <f>140000-140000</f>
        <v>0</v>
      </c>
      <c r="H366" s="2490"/>
      <c r="I366" s="2490"/>
      <c r="J366" s="2491"/>
      <c r="K366" s="2482"/>
    </row>
    <row r="367" spans="1:226" s="2485" customFormat="1" ht="15" customHeight="1">
      <c r="A367" s="3112"/>
      <c r="B367" s="3113"/>
      <c r="C367" s="3114"/>
      <c r="D367" s="3134"/>
      <c r="E367" s="2492" t="s">
        <v>1087</v>
      </c>
      <c r="F367" s="2487">
        <f>SUM(F368:F369)</f>
        <v>5515380</v>
      </c>
      <c r="G367" s="2487">
        <f>SUM(G368:G369)</f>
        <v>827307</v>
      </c>
      <c r="H367" s="2487">
        <f>SUM(H368:H369)</f>
        <v>4688073</v>
      </c>
      <c r="I367" s="2487">
        <f>SUM(I368:I369)</f>
        <v>0</v>
      </c>
      <c r="J367" s="2488">
        <f>SUM(J368:J369)</f>
        <v>0</v>
      </c>
      <c r="K367" s="2482"/>
    </row>
    <row r="368" spans="1:226" s="2485" customFormat="1" ht="15" customHeight="1">
      <c r="A368" s="3112"/>
      <c r="B368" s="3113"/>
      <c r="C368" s="3114"/>
      <c r="D368" s="3134"/>
      <c r="E368" s="2489" t="s">
        <v>676</v>
      </c>
      <c r="F368" s="2490">
        <f>SUM(G368:J368)</f>
        <v>4688073</v>
      </c>
      <c r="G368" s="2490"/>
      <c r="H368" s="2490">
        <v>4688073</v>
      </c>
      <c r="I368" s="2490"/>
      <c r="J368" s="2491"/>
      <c r="K368" s="2482"/>
    </row>
    <row r="369" spans="1:226" s="2485" customFormat="1" ht="15" customHeight="1">
      <c r="A369" s="3112"/>
      <c r="B369" s="3113"/>
      <c r="C369" s="3114"/>
      <c r="D369" s="3134"/>
      <c r="E369" s="2503">
        <v>6059</v>
      </c>
      <c r="F369" s="2490">
        <f t="shared" ref="F369" si="40">SUM(G369:J369)</f>
        <v>827307</v>
      </c>
      <c r="G369" s="2490">
        <v>827307</v>
      </c>
      <c r="H369" s="2490"/>
      <c r="I369" s="2490"/>
      <c r="J369" s="2491"/>
      <c r="K369" s="2482"/>
    </row>
    <row r="370" spans="1:226" s="2485" customFormat="1" ht="22.5">
      <c r="A370" s="3112" t="s">
        <v>1126</v>
      </c>
      <c r="B370" s="3113" t="s">
        <v>1131</v>
      </c>
      <c r="C370" s="3134" t="s">
        <v>57</v>
      </c>
      <c r="D370" s="3134" t="s">
        <v>245</v>
      </c>
      <c r="E370" s="2479" t="s">
        <v>1086</v>
      </c>
      <c r="F370" s="2480">
        <f>SUM(F371,F405)</f>
        <v>5345000</v>
      </c>
      <c r="G370" s="2480">
        <f>SUM(G371,G405)</f>
        <v>0</v>
      </c>
      <c r="H370" s="2480">
        <f>SUM(H371,H405)</f>
        <v>0</v>
      </c>
      <c r="I370" s="2480">
        <f>SUM(I371,I405)</f>
        <v>5345000</v>
      </c>
      <c r="J370" s="2481">
        <f>SUM(J371,J405)</f>
        <v>0</v>
      </c>
      <c r="K370" s="2482"/>
      <c r="L370" s="2484"/>
      <c r="M370" s="2484"/>
      <c r="N370" s="2484"/>
      <c r="O370" s="2484"/>
      <c r="P370" s="2484"/>
      <c r="Q370" s="2484"/>
      <c r="R370" s="2484"/>
      <c r="S370" s="2484"/>
      <c r="T370" s="2484"/>
      <c r="U370" s="2484"/>
      <c r="V370" s="2484"/>
      <c r="W370" s="2484"/>
      <c r="X370" s="2484"/>
      <c r="Y370" s="2484"/>
      <c r="Z370" s="2484"/>
      <c r="AA370" s="2484"/>
      <c r="AB370" s="2484"/>
      <c r="AC370" s="2484"/>
      <c r="AD370" s="2484"/>
      <c r="AE370" s="2484"/>
      <c r="AF370" s="2484"/>
      <c r="AG370" s="2484"/>
      <c r="AH370" s="2484"/>
      <c r="AI370" s="2484"/>
      <c r="AJ370" s="2484"/>
      <c r="AK370" s="2484"/>
      <c r="AL370" s="2484"/>
      <c r="AM370" s="2484"/>
      <c r="AN370" s="2484"/>
      <c r="AO370" s="2484"/>
      <c r="AP370" s="2484"/>
      <c r="AQ370" s="2484"/>
      <c r="AR370" s="2484"/>
      <c r="AS370" s="2484"/>
      <c r="AT370" s="2484"/>
      <c r="AU370" s="2484"/>
      <c r="AV370" s="2484"/>
      <c r="AW370" s="2484"/>
      <c r="AX370" s="2484"/>
      <c r="AY370" s="2484"/>
      <c r="AZ370" s="2484"/>
      <c r="BA370" s="2484"/>
      <c r="BB370" s="2484"/>
      <c r="BC370" s="2484"/>
      <c r="BD370" s="2484"/>
      <c r="BE370" s="2484"/>
      <c r="BF370" s="2484"/>
      <c r="BG370" s="2484"/>
      <c r="BH370" s="2484"/>
      <c r="BI370" s="2484"/>
      <c r="BJ370" s="2484"/>
      <c r="BK370" s="2484"/>
      <c r="BL370" s="2484"/>
      <c r="BM370" s="2484"/>
      <c r="BN370" s="2484"/>
      <c r="BO370" s="2484"/>
      <c r="BP370" s="2484"/>
      <c r="BQ370" s="2484"/>
      <c r="BR370" s="2484"/>
      <c r="BS370" s="2484"/>
      <c r="BT370" s="2484"/>
      <c r="BU370" s="2484"/>
      <c r="BV370" s="2484"/>
      <c r="BW370" s="2484"/>
      <c r="BX370" s="2484"/>
      <c r="BY370" s="2484"/>
      <c r="BZ370" s="2484"/>
      <c r="CA370" s="2484"/>
      <c r="CB370" s="2484"/>
      <c r="CC370" s="2484"/>
      <c r="CD370" s="2484"/>
      <c r="CE370" s="2484"/>
      <c r="CF370" s="2484"/>
      <c r="CG370" s="2484"/>
      <c r="CH370" s="2484"/>
      <c r="CI370" s="2484"/>
      <c r="CJ370" s="2484"/>
      <c r="CK370" s="2484"/>
      <c r="CL370" s="2484"/>
      <c r="CM370" s="2484"/>
      <c r="CN370" s="2484"/>
      <c r="CO370" s="2484"/>
      <c r="CP370" s="2484"/>
      <c r="CQ370" s="2484"/>
      <c r="CR370" s="2484"/>
      <c r="CS370" s="2484"/>
      <c r="CT370" s="2484"/>
      <c r="CU370" s="2484"/>
      <c r="CV370" s="2484"/>
      <c r="CW370" s="2484"/>
      <c r="CX370" s="2484"/>
      <c r="CY370" s="2484"/>
      <c r="CZ370" s="2484"/>
      <c r="DA370" s="2484"/>
      <c r="DB370" s="2484"/>
      <c r="DC370" s="2484"/>
      <c r="DD370" s="2484"/>
      <c r="DE370" s="2484"/>
      <c r="DF370" s="2484"/>
      <c r="DG370" s="2484"/>
      <c r="DH370" s="2484"/>
      <c r="DI370" s="2484"/>
      <c r="DJ370" s="2484"/>
      <c r="DK370" s="2484"/>
      <c r="DL370" s="2484"/>
      <c r="DM370" s="2484"/>
      <c r="DN370" s="2484"/>
      <c r="DO370" s="2484"/>
      <c r="DP370" s="2484"/>
      <c r="DQ370" s="2484"/>
      <c r="DR370" s="2484"/>
      <c r="DS370" s="2484"/>
      <c r="DT370" s="2484"/>
      <c r="DU370" s="2484"/>
      <c r="DV370" s="2484"/>
      <c r="DW370" s="2484"/>
      <c r="DX370" s="2484"/>
      <c r="DY370" s="2484"/>
      <c r="DZ370" s="2484"/>
      <c r="EA370" s="2484"/>
      <c r="EB370" s="2484"/>
      <c r="EC370" s="2484"/>
      <c r="ED370" s="2484"/>
      <c r="EE370" s="2484"/>
      <c r="EF370" s="2484"/>
      <c r="EG370" s="2484"/>
      <c r="EH370" s="2484"/>
      <c r="EI370" s="2484"/>
      <c r="EJ370" s="2484"/>
      <c r="EK370" s="2484"/>
      <c r="EL370" s="2484"/>
      <c r="EM370" s="2484"/>
      <c r="EN370" s="2484"/>
      <c r="EO370" s="2484"/>
      <c r="EP370" s="2484"/>
      <c r="EQ370" s="2484"/>
      <c r="ER370" s="2484"/>
      <c r="ES370" s="2484"/>
      <c r="ET370" s="2484"/>
      <c r="EU370" s="2484"/>
      <c r="EV370" s="2484"/>
      <c r="EW370" s="2484"/>
      <c r="EX370" s="2484"/>
      <c r="EY370" s="2484"/>
      <c r="EZ370" s="2484"/>
      <c r="FA370" s="2484"/>
      <c r="FB370" s="2484"/>
      <c r="FC370" s="2484"/>
      <c r="FD370" s="2484"/>
      <c r="FE370" s="2484"/>
      <c r="FF370" s="2484"/>
      <c r="FG370" s="2484"/>
      <c r="FH370" s="2484"/>
      <c r="FI370" s="2484"/>
      <c r="FJ370" s="2484"/>
      <c r="FK370" s="2484"/>
      <c r="FL370" s="2484"/>
      <c r="FM370" s="2484"/>
      <c r="FN370" s="2484"/>
      <c r="FO370" s="2484"/>
      <c r="FP370" s="2484"/>
      <c r="FQ370" s="2484"/>
      <c r="FR370" s="2484"/>
      <c r="FS370" s="2484"/>
      <c r="FT370" s="2484"/>
      <c r="FU370" s="2484"/>
      <c r="FV370" s="2484"/>
      <c r="FW370" s="2484"/>
      <c r="FX370" s="2484"/>
      <c r="FY370" s="2484"/>
      <c r="FZ370" s="2484"/>
      <c r="GA370" s="2484"/>
      <c r="GB370" s="2484"/>
      <c r="GC370" s="2484"/>
      <c r="GD370" s="2484"/>
      <c r="GE370" s="2484"/>
      <c r="GF370" s="2484"/>
      <c r="GG370" s="2484"/>
      <c r="GH370" s="2484"/>
      <c r="GI370" s="2484"/>
      <c r="GJ370" s="2484"/>
      <c r="GK370" s="2484"/>
      <c r="GL370" s="2484"/>
      <c r="GM370" s="2484"/>
      <c r="GN370" s="2484"/>
      <c r="GO370" s="2484"/>
      <c r="GP370" s="2484"/>
      <c r="GQ370" s="2484"/>
      <c r="GR370" s="2484"/>
      <c r="GS370" s="2484"/>
      <c r="GT370" s="2484"/>
      <c r="GU370" s="2484"/>
      <c r="GV370" s="2484"/>
      <c r="GW370" s="2484"/>
      <c r="GX370" s="2484"/>
      <c r="GY370" s="2484"/>
      <c r="GZ370" s="2484"/>
      <c r="HA370" s="2484"/>
      <c r="HB370" s="2484"/>
      <c r="HC370" s="2484"/>
      <c r="HD370" s="2484"/>
      <c r="HE370" s="2484"/>
      <c r="HF370" s="2484"/>
      <c r="HG370" s="2484"/>
      <c r="HH370" s="2484"/>
      <c r="HI370" s="2484"/>
      <c r="HJ370" s="2484"/>
      <c r="HK370" s="2484"/>
      <c r="HL370" s="2484"/>
      <c r="HM370" s="2484"/>
      <c r="HN370" s="2484"/>
      <c r="HO370" s="2484"/>
      <c r="HP370" s="2484"/>
      <c r="HQ370" s="2484"/>
      <c r="HR370" s="2484"/>
    </row>
    <row r="371" spans="1:226" s="2485" customFormat="1" ht="21">
      <c r="A371" s="3112"/>
      <c r="B371" s="3113"/>
      <c r="C371" s="3134"/>
      <c r="D371" s="3134"/>
      <c r="E371" s="2486" t="s">
        <v>1092</v>
      </c>
      <c r="F371" s="2487">
        <f>SUM(F372,F377,F388)</f>
        <v>5345000</v>
      </c>
      <c r="G371" s="2487">
        <f t="shared" ref="G371:J371" si="41">SUM(G372,G377,G388)</f>
        <v>0</v>
      </c>
      <c r="H371" s="2487">
        <f t="shared" si="41"/>
        <v>0</v>
      </c>
      <c r="I371" s="2487">
        <f t="shared" si="41"/>
        <v>5345000</v>
      </c>
      <c r="J371" s="2488">
        <f t="shared" si="41"/>
        <v>0</v>
      </c>
      <c r="K371" s="2482"/>
    </row>
    <row r="372" spans="1:226" s="2485" customFormat="1" ht="15" hidden="1" customHeight="1">
      <c r="A372" s="3112"/>
      <c r="B372" s="3113"/>
      <c r="C372" s="3134"/>
      <c r="D372" s="3134"/>
      <c r="E372" s="2497" t="s">
        <v>1109</v>
      </c>
      <c r="F372" s="2498">
        <f>SUM(F373:F376)</f>
        <v>0</v>
      </c>
      <c r="G372" s="2498">
        <f t="shared" ref="G372:J372" si="42">SUM(G373:G376)</f>
        <v>0</v>
      </c>
      <c r="H372" s="2498">
        <f t="shared" si="42"/>
        <v>0</v>
      </c>
      <c r="I372" s="2498">
        <f t="shared" si="42"/>
        <v>0</v>
      </c>
      <c r="J372" s="2499">
        <f t="shared" si="42"/>
        <v>0</v>
      </c>
      <c r="K372" s="2482"/>
    </row>
    <row r="373" spans="1:226" s="2485" customFormat="1" ht="15" hidden="1" customHeight="1">
      <c r="A373" s="3112"/>
      <c r="B373" s="3113"/>
      <c r="C373" s="3134"/>
      <c r="D373" s="3134"/>
      <c r="E373" s="2489" t="s">
        <v>588</v>
      </c>
      <c r="F373" s="2490">
        <f t="shared" ref="F373:F376" si="43">SUM(G373:J373)</f>
        <v>0</v>
      </c>
      <c r="G373" s="2490"/>
      <c r="H373" s="2490"/>
      <c r="I373" s="2490"/>
      <c r="J373" s="2491"/>
      <c r="K373" s="2482"/>
    </row>
    <row r="374" spans="1:226" s="2485" customFormat="1" ht="15" hidden="1" customHeight="1">
      <c r="A374" s="3112"/>
      <c r="B374" s="3113"/>
      <c r="C374" s="3134"/>
      <c r="D374" s="3134"/>
      <c r="E374" s="2489" t="s">
        <v>460</v>
      </c>
      <c r="F374" s="2490">
        <f t="shared" si="43"/>
        <v>0</v>
      </c>
      <c r="G374" s="2490"/>
      <c r="H374" s="2490"/>
      <c r="I374" s="2490"/>
      <c r="J374" s="2491"/>
      <c r="K374" s="2482"/>
    </row>
    <row r="375" spans="1:226" s="2485" customFormat="1" ht="15" hidden="1" customHeight="1">
      <c r="A375" s="3112"/>
      <c r="B375" s="3113"/>
      <c r="C375" s="3134"/>
      <c r="D375" s="3134"/>
      <c r="E375" s="2489" t="s">
        <v>338</v>
      </c>
      <c r="F375" s="2490">
        <f t="shared" si="43"/>
        <v>0</v>
      </c>
      <c r="G375" s="2490"/>
      <c r="H375" s="2490"/>
      <c r="I375" s="2490"/>
      <c r="J375" s="2491"/>
      <c r="K375" s="2482"/>
    </row>
    <row r="376" spans="1:226" s="2485" customFormat="1" ht="15" hidden="1" customHeight="1">
      <c r="A376" s="3112"/>
      <c r="B376" s="3113"/>
      <c r="C376" s="3134"/>
      <c r="D376" s="3134"/>
      <c r="E376" s="2489" t="s">
        <v>328</v>
      </c>
      <c r="F376" s="2490">
        <f t="shared" si="43"/>
        <v>0</v>
      </c>
      <c r="G376" s="2490"/>
      <c r="H376" s="2490"/>
      <c r="I376" s="2490"/>
      <c r="J376" s="2491"/>
      <c r="K376" s="2482"/>
    </row>
    <row r="377" spans="1:226" s="2485" customFormat="1" ht="22.5">
      <c r="A377" s="3112"/>
      <c r="B377" s="3113"/>
      <c r="C377" s="3134"/>
      <c r="D377" s="3134"/>
      <c r="E377" s="2497" t="s">
        <v>1093</v>
      </c>
      <c r="F377" s="2498">
        <f>SUM(F378:F387)</f>
        <v>3970000</v>
      </c>
      <c r="G377" s="2498">
        <f>SUM(G378:G387)</f>
        <v>0</v>
      </c>
      <c r="H377" s="2498">
        <f>SUM(H378:H387)</f>
        <v>0</v>
      </c>
      <c r="I377" s="2498">
        <f>SUM(I378:I387)</f>
        <v>3970000</v>
      </c>
      <c r="J377" s="2499">
        <f>SUM(J378:J387)</f>
        <v>0</v>
      </c>
      <c r="K377" s="2482"/>
    </row>
    <row r="378" spans="1:226" s="2485" customFormat="1" ht="15" customHeight="1">
      <c r="A378" s="3112"/>
      <c r="B378" s="3113"/>
      <c r="C378" s="3134"/>
      <c r="D378" s="3134"/>
      <c r="E378" s="2489" t="s">
        <v>591</v>
      </c>
      <c r="F378" s="2490">
        <f t="shared" ref="F378:F387" si="44">SUM(G378:J378)</f>
        <v>1915240</v>
      </c>
      <c r="G378" s="2490"/>
      <c r="H378" s="2490"/>
      <c r="I378" s="2490">
        <v>1915240</v>
      </c>
      <c r="J378" s="2491"/>
      <c r="K378" s="2482"/>
    </row>
    <row r="379" spans="1:226" s="2485" customFormat="1" ht="15" customHeight="1">
      <c r="A379" s="3112"/>
      <c r="B379" s="3113"/>
      <c r="C379" s="3134"/>
      <c r="D379" s="3134"/>
      <c r="E379" s="2489" t="s">
        <v>592</v>
      </c>
      <c r="F379" s="2490">
        <f t="shared" si="44"/>
        <v>1094760</v>
      </c>
      <c r="G379" s="2490"/>
      <c r="H379" s="2490"/>
      <c r="I379" s="2490">
        <v>1094760</v>
      </c>
      <c r="J379" s="2491"/>
      <c r="K379" s="2482"/>
    </row>
    <row r="380" spans="1:226" s="2485" customFormat="1" ht="15" customHeight="1">
      <c r="A380" s="3112"/>
      <c r="B380" s="3113"/>
      <c r="C380" s="3134"/>
      <c r="D380" s="3134"/>
      <c r="E380" s="2489" t="s">
        <v>593</v>
      </c>
      <c r="F380" s="2490">
        <f t="shared" si="44"/>
        <v>165438</v>
      </c>
      <c r="G380" s="2490"/>
      <c r="H380" s="2490"/>
      <c r="I380" s="2490">
        <v>165438</v>
      </c>
      <c r="J380" s="2491"/>
      <c r="K380" s="2482"/>
    </row>
    <row r="381" spans="1:226" s="2485" customFormat="1" ht="15" customHeight="1">
      <c r="A381" s="3112"/>
      <c r="B381" s="3113"/>
      <c r="C381" s="3134"/>
      <c r="D381" s="3134"/>
      <c r="E381" s="2489" t="s">
        <v>594</v>
      </c>
      <c r="F381" s="2490">
        <f t="shared" si="44"/>
        <v>94562</v>
      </c>
      <c r="G381" s="2490"/>
      <c r="H381" s="2490"/>
      <c r="I381" s="2490">
        <v>94562</v>
      </c>
      <c r="J381" s="2491"/>
      <c r="K381" s="2482"/>
    </row>
    <row r="382" spans="1:226" s="2485" customFormat="1" ht="15" customHeight="1">
      <c r="A382" s="3112"/>
      <c r="B382" s="3113"/>
      <c r="C382" s="3134"/>
      <c r="D382" s="3134"/>
      <c r="E382" s="2489" t="s">
        <v>595</v>
      </c>
      <c r="F382" s="2490">
        <f t="shared" si="44"/>
        <v>381780</v>
      </c>
      <c r="G382" s="2490"/>
      <c r="H382" s="2490"/>
      <c r="I382" s="2490">
        <v>381780</v>
      </c>
      <c r="J382" s="2491"/>
      <c r="K382" s="2482"/>
    </row>
    <row r="383" spans="1:226" s="2485" customFormat="1" ht="15" customHeight="1">
      <c r="A383" s="3112"/>
      <c r="B383" s="3113"/>
      <c r="C383" s="3134"/>
      <c r="D383" s="3134"/>
      <c r="E383" s="2489" t="s">
        <v>596</v>
      </c>
      <c r="F383" s="2490">
        <f t="shared" si="44"/>
        <v>218220</v>
      </c>
      <c r="G383" s="2490"/>
      <c r="H383" s="2490"/>
      <c r="I383" s="2490">
        <v>218220</v>
      </c>
      <c r="J383" s="2491"/>
      <c r="K383" s="2482"/>
    </row>
    <row r="384" spans="1:226" s="2485" customFormat="1" ht="15" customHeight="1">
      <c r="A384" s="3112"/>
      <c r="B384" s="3113"/>
      <c r="C384" s="3134"/>
      <c r="D384" s="3134"/>
      <c r="E384" s="2489" t="s">
        <v>597</v>
      </c>
      <c r="F384" s="2490">
        <f t="shared" si="44"/>
        <v>57267</v>
      </c>
      <c r="G384" s="2490"/>
      <c r="H384" s="2490"/>
      <c r="I384" s="2490">
        <v>57267</v>
      </c>
      <c r="J384" s="2491"/>
      <c r="K384" s="2482"/>
    </row>
    <row r="385" spans="1:11" s="2485" customFormat="1" ht="15" customHeight="1">
      <c r="A385" s="3112"/>
      <c r="B385" s="3113"/>
      <c r="C385" s="3134"/>
      <c r="D385" s="3134"/>
      <c r="E385" s="2489" t="s">
        <v>598</v>
      </c>
      <c r="F385" s="2490">
        <f t="shared" si="44"/>
        <v>32733</v>
      </c>
      <c r="G385" s="2490"/>
      <c r="H385" s="2490"/>
      <c r="I385" s="2490">
        <v>32733</v>
      </c>
      <c r="J385" s="2491"/>
      <c r="K385" s="2482"/>
    </row>
    <row r="386" spans="1:11" s="2485" customFormat="1" ht="15" customHeight="1">
      <c r="A386" s="3112"/>
      <c r="B386" s="3113"/>
      <c r="C386" s="3134"/>
      <c r="D386" s="3134"/>
      <c r="E386" s="2489" t="s">
        <v>599</v>
      </c>
      <c r="F386" s="2490">
        <f t="shared" si="44"/>
        <v>6363</v>
      </c>
      <c r="G386" s="2490"/>
      <c r="H386" s="2490"/>
      <c r="I386" s="2490">
        <v>6363</v>
      </c>
      <c r="J386" s="2491"/>
      <c r="K386" s="2482"/>
    </row>
    <row r="387" spans="1:11" s="2485" customFormat="1" ht="15" customHeight="1">
      <c r="A387" s="3112"/>
      <c r="B387" s="3113"/>
      <c r="C387" s="3134"/>
      <c r="D387" s="3134"/>
      <c r="E387" s="2489" t="s">
        <v>600</v>
      </c>
      <c r="F387" s="2490">
        <f t="shared" si="44"/>
        <v>3637</v>
      </c>
      <c r="G387" s="2490"/>
      <c r="H387" s="2490"/>
      <c r="I387" s="2490">
        <v>3637</v>
      </c>
      <c r="J387" s="2491"/>
      <c r="K387" s="2482"/>
    </row>
    <row r="388" spans="1:11" s="2485" customFormat="1" ht="22.5">
      <c r="A388" s="3112"/>
      <c r="B388" s="3113"/>
      <c r="C388" s="3134"/>
      <c r="D388" s="3134"/>
      <c r="E388" s="2497" t="s">
        <v>1094</v>
      </c>
      <c r="F388" s="2498">
        <f>SUM(F389:F404)</f>
        <v>1375000</v>
      </c>
      <c r="G388" s="2498">
        <f>SUM(G389:G404)</f>
        <v>0</v>
      </c>
      <c r="H388" s="2498">
        <f>SUM(H389:H404)</f>
        <v>0</v>
      </c>
      <c r="I388" s="2498">
        <f>SUM(I389:I404)</f>
        <v>1375000</v>
      </c>
      <c r="J388" s="2499">
        <f>SUM(J389:J404)</f>
        <v>0</v>
      </c>
      <c r="K388" s="2482"/>
    </row>
    <row r="389" spans="1:11" s="2485" customFormat="1" ht="15" customHeight="1">
      <c r="A389" s="3112"/>
      <c r="B389" s="3113"/>
      <c r="C389" s="3134"/>
      <c r="D389" s="3134"/>
      <c r="E389" s="2524" t="s">
        <v>601</v>
      </c>
      <c r="F389" s="2490">
        <f t="shared" ref="F389:F404" si="45">SUM(G389:J389)</f>
        <v>190890</v>
      </c>
      <c r="G389" s="2490"/>
      <c r="H389" s="2490"/>
      <c r="I389" s="2490">
        <v>190890</v>
      </c>
      <c r="J389" s="2491"/>
      <c r="K389" s="2482"/>
    </row>
    <row r="390" spans="1:11" s="2485" customFormat="1" ht="15" customHeight="1">
      <c r="A390" s="3112"/>
      <c r="B390" s="3113"/>
      <c r="C390" s="3134"/>
      <c r="D390" s="3134"/>
      <c r="E390" s="2524" t="s">
        <v>603</v>
      </c>
      <c r="F390" s="2490">
        <f t="shared" si="45"/>
        <v>109110</v>
      </c>
      <c r="G390" s="2490"/>
      <c r="H390" s="2490"/>
      <c r="I390" s="2490">
        <v>109110</v>
      </c>
      <c r="J390" s="2491"/>
      <c r="K390" s="2482"/>
    </row>
    <row r="391" spans="1:11" s="2485" customFormat="1" ht="15" customHeight="1">
      <c r="A391" s="3112"/>
      <c r="B391" s="3113"/>
      <c r="C391" s="3134"/>
      <c r="D391" s="3134"/>
      <c r="E391" s="2489" t="s">
        <v>604</v>
      </c>
      <c r="F391" s="2490">
        <f t="shared" si="45"/>
        <v>103717</v>
      </c>
      <c r="G391" s="2490"/>
      <c r="H391" s="2490"/>
      <c r="I391" s="2490">
        <v>103717</v>
      </c>
      <c r="J391" s="2491"/>
      <c r="K391" s="2482"/>
    </row>
    <row r="392" spans="1:11" s="2485" customFormat="1" ht="15" customHeight="1">
      <c r="A392" s="3112"/>
      <c r="B392" s="3113"/>
      <c r="C392" s="3134"/>
      <c r="D392" s="3134"/>
      <c r="E392" s="2489" t="s">
        <v>605</v>
      </c>
      <c r="F392" s="2490">
        <f t="shared" si="45"/>
        <v>59283</v>
      </c>
      <c r="G392" s="2490"/>
      <c r="H392" s="2490"/>
      <c r="I392" s="2490">
        <v>59283</v>
      </c>
      <c r="J392" s="2491"/>
      <c r="K392" s="2482"/>
    </row>
    <row r="393" spans="1:11" s="2485" customFormat="1" ht="15" customHeight="1">
      <c r="A393" s="3112"/>
      <c r="B393" s="3113"/>
      <c r="C393" s="3134"/>
      <c r="D393" s="3134"/>
      <c r="E393" s="2489" t="s">
        <v>606</v>
      </c>
      <c r="F393" s="2490">
        <f t="shared" si="45"/>
        <v>1909</v>
      </c>
      <c r="G393" s="2490"/>
      <c r="H393" s="2490"/>
      <c r="I393" s="2490">
        <v>1909</v>
      </c>
      <c r="J393" s="2491"/>
      <c r="K393" s="2482"/>
    </row>
    <row r="394" spans="1:11" s="2485" customFormat="1" ht="15" customHeight="1">
      <c r="A394" s="3112"/>
      <c r="B394" s="3113"/>
      <c r="C394" s="3134"/>
      <c r="D394" s="3134"/>
      <c r="E394" s="2489" t="s">
        <v>607</v>
      </c>
      <c r="F394" s="2490">
        <f t="shared" si="45"/>
        <v>1091</v>
      </c>
      <c r="G394" s="2490"/>
      <c r="H394" s="2490"/>
      <c r="I394" s="2490">
        <v>1091</v>
      </c>
      <c r="J394" s="2491"/>
      <c r="K394" s="2482"/>
    </row>
    <row r="395" spans="1:11" s="2485" customFormat="1" ht="15" customHeight="1">
      <c r="A395" s="3112"/>
      <c r="B395" s="3113"/>
      <c r="C395" s="3134"/>
      <c r="D395" s="3134"/>
      <c r="E395" s="2489" t="s">
        <v>608</v>
      </c>
      <c r="F395" s="2490">
        <f t="shared" si="45"/>
        <v>532583</v>
      </c>
      <c r="G395" s="2490"/>
      <c r="H395" s="2490"/>
      <c r="I395" s="2490">
        <v>532583</v>
      </c>
      <c r="J395" s="2491"/>
      <c r="K395" s="2482"/>
    </row>
    <row r="396" spans="1:11" s="2485" customFormat="1" ht="15" customHeight="1">
      <c r="A396" s="3112"/>
      <c r="B396" s="3113"/>
      <c r="C396" s="3134"/>
      <c r="D396" s="3134"/>
      <c r="E396" s="2489" t="s">
        <v>609</v>
      </c>
      <c r="F396" s="2490">
        <f t="shared" si="45"/>
        <v>304417</v>
      </c>
      <c r="G396" s="2490"/>
      <c r="H396" s="2490"/>
      <c r="I396" s="2490">
        <v>304417</v>
      </c>
      <c r="J396" s="2491"/>
      <c r="K396" s="2482"/>
    </row>
    <row r="397" spans="1:11" s="2485" customFormat="1" ht="15" customHeight="1">
      <c r="A397" s="3112"/>
      <c r="B397" s="3113"/>
      <c r="C397" s="3134"/>
      <c r="D397" s="3134"/>
      <c r="E397" s="2489" t="s">
        <v>610</v>
      </c>
      <c r="F397" s="2490">
        <f t="shared" si="45"/>
        <v>636</v>
      </c>
      <c r="G397" s="2490"/>
      <c r="H397" s="2490"/>
      <c r="I397" s="2490">
        <v>636</v>
      </c>
      <c r="J397" s="2491"/>
      <c r="K397" s="2482"/>
    </row>
    <row r="398" spans="1:11" s="2485" customFormat="1" ht="15" customHeight="1">
      <c r="A398" s="3112"/>
      <c r="B398" s="3113"/>
      <c r="C398" s="3134"/>
      <c r="D398" s="3134"/>
      <c r="E398" s="2489" t="s">
        <v>611</v>
      </c>
      <c r="F398" s="2490">
        <f t="shared" si="45"/>
        <v>364</v>
      </c>
      <c r="G398" s="2490"/>
      <c r="H398" s="2490"/>
      <c r="I398" s="2490">
        <v>364</v>
      </c>
      <c r="J398" s="2491"/>
      <c r="K398" s="2482"/>
    </row>
    <row r="399" spans="1:11" s="2485" customFormat="1" ht="15" customHeight="1">
      <c r="A399" s="3112"/>
      <c r="B399" s="3113"/>
      <c r="C399" s="3134"/>
      <c r="D399" s="3134"/>
      <c r="E399" s="2489" t="s">
        <v>612</v>
      </c>
      <c r="F399" s="2490">
        <f t="shared" si="45"/>
        <v>13999</v>
      </c>
      <c r="G399" s="2490"/>
      <c r="H399" s="2490"/>
      <c r="I399" s="2490">
        <v>13999</v>
      </c>
      <c r="J399" s="2491"/>
      <c r="K399" s="2482"/>
    </row>
    <row r="400" spans="1:11" s="2485" customFormat="1" ht="15" customHeight="1">
      <c r="A400" s="3112"/>
      <c r="B400" s="3113"/>
      <c r="C400" s="3134"/>
      <c r="D400" s="3134"/>
      <c r="E400" s="2489" t="s">
        <v>613</v>
      </c>
      <c r="F400" s="2490">
        <f t="shared" si="45"/>
        <v>8001</v>
      </c>
      <c r="G400" s="2490"/>
      <c r="H400" s="2490"/>
      <c r="I400" s="2490">
        <v>8001</v>
      </c>
      <c r="J400" s="2491"/>
      <c r="K400" s="2482"/>
    </row>
    <row r="401" spans="1:226" s="2485" customFormat="1" ht="15" customHeight="1">
      <c r="A401" s="3112"/>
      <c r="B401" s="3113"/>
      <c r="C401" s="3134"/>
      <c r="D401" s="3134"/>
      <c r="E401" s="2489" t="s">
        <v>614</v>
      </c>
      <c r="F401" s="2490">
        <f t="shared" si="45"/>
        <v>9544</v>
      </c>
      <c r="G401" s="2490"/>
      <c r="H401" s="2490"/>
      <c r="I401" s="2490">
        <v>9544</v>
      </c>
      <c r="J401" s="2491"/>
      <c r="K401" s="2482"/>
    </row>
    <row r="402" spans="1:226" s="2485" customFormat="1" ht="15" customHeight="1">
      <c r="A402" s="3112"/>
      <c r="B402" s="3113"/>
      <c r="C402" s="3134"/>
      <c r="D402" s="3134"/>
      <c r="E402" s="2489" t="s">
        <v>615</v>
      </c>
      <c r="F402" s="2490">
        <f t="shared" si="45"/>
        <v>5456</v>
      </c>
      <c r="G402" s="2490"/>
      <c r="H402" s="2490"/>
      <c r="I402" s="2490">
        <v>5456</v>
      </c>
      <c r="J402" s="2491"/>
      <c r="K402" s="2482"/>
    </row>
    <row r="403" spans="1:226" s="2485" customFormat="1" ht="15" customHeight="1">
      <c r="A403" s="3112"/>
      <c r="B403" s="3113"/>
      <c r="C403" s="3134"/>
      <c r="D403" s="3134"/>
      <c r="E403" s="2489" t="s">
        <v>616</v>
      </c>
      <c r="F403" s="2490">
        <f t="shared" si="45"/>
        <v>21634</v>
      </c>
      <c r="G403" s="2490"/>
      <c r="H403" s="2490"/>
      <c r="I403" s="2490">
        <v>21634</v>
      </c>
      <c r="J403" s="2491"/>
      <c r="K403" s="2482"/>
    </row>
    <row r="404" spans="1:226" s="2485" customFormat="1" ht="15" customHeight="1">
      <c r="A404" s="3112"/>
      <c r="B404" s="3113"/>
      <c r="C404" s="3134"/>
      <c r="D404" s="3134"/>
      <c r="E404" s="2489" t="s">
        <v>617</v>
      </c>
      <c r="F404" s="2490">
        <f t="shared" si="45"/>
        <v>12366</v>
      </c>
      <c r="G404" s="2490"/>
      <c r="H404" s="2490"/>
      <c r="I404" s="2490">
        <v>12366</v>
      </c>
      <c r="J404" s="2491"/>
      <c r="K404" s="2482"/>
    </row>
    <row r="405" spans="1:226" s="2485" customFormat="1" ht="15" customHeight="1">
      <c r="A405" s="3112"/>
      <c r="B405" s="3113"/>
      <c r="C405" s="3134"/>
      <c r="D405" s="3134"/>
      <c r="E405" s="2492" t="s">
        <v>1087</v>
      </c>
      <c r="F405" s="2487">
        <f>SUM(F406:F407)</f>
        <v>0</v>
      </c>
      <c r="G405" s="2487">
        <f>SUM(G406:G407)</f>
        <v>0</v>
      </c>
      <c r="H405" s="2487">
        <f>SUM(H406:H407)</f>
        <v>0</v>
      </c>
      <c r="I405" s="2487">
        <f>SUM(I406:I407)</f>
        <v>0</v>
      </c>
      <c r="J405" s="2488">
        <f>SUM(J406:J407)</f>
        <v>0</v>
      </c>
      <c r="K405" s="2482"/>
    </row>
    <row r="406" spans="1:226" s="2485" customFormat="1" ht="15" hidden="1" customHeight="1">
      <c r="A406" s="2504"/>
      <c r="B406" s="2505"/>
      <c r="C406" s="2507"/>
      <c r="D406" s="2507"/>
      <c r="E406" s="2508"/>
      <c r="F406" s="2509">
        <f>SUM(G406:J406)</f>
        <v>0</v>
      </c>
      <c r="G406" s="2509"/>
      <c r="H406" s="2509"/>
      <c r="I406" s="2509"/>
      <c r="J406" s="2510"/>
      <c r="K406" s="2482"/>
    </row>
    <row r="407" spans="1:226" s="2485" customFormat="1" ht="15" hidden="1" customHeight="1">
      <c r="A407" s="2504"/>
      <c r="B407" s="2505"/>
      <c r="C407" s="2507"/>
      <c r="D407" s="2507"/>
      <c r="E407" s="2522"/>
      <c r="F407" s="2509">
        <f>SUM(G407:J407)</f>
        <v>0</v>
      </c>
      <c r="G407" s="2509"/>
      <c r="H407" s="2509"/>
      <c r="I407" s="2509"/>
      <c r="J407" s="2510"/>
      <c r="K407" s="2482"/>
    </row>
    <row r="408" spans="1:226" s="2485" customFormat="1" ht="22.5">
      <c r="A408" s="3112" t="s">
        <v>1132</v>
      </c>
      <c r="B408" s="3113" t="s">
        <v>1133</v>
      </c>
      <c r="C408" s="3134" t="s">
        <v>256</v>
      </c>
      <c r="D408" s="3134" t="s">
        <v>258</v>
      </c>
      <c r="E408" s="2479" t="s">
        <v>1086</v>
      </c>
      <c r="F408" s="2480">
        <f>SUM(F409,F441)</f>
        <v>520000</v>
      </c>
      <c r="G408" s="2480">
        <f>SUM(G409,G441)</f>
        <v>0</v>
      </c>
      <c r="H408" s="2480">
        <f>SUM(H409,H441)</f>
        <v>0</v>
      </c>
      <c r="I408" s="2480">
        <f>SUM(I409,I441)</f>
        <v>520000</v>
      </c>
      <c r="J408" s="2481">
        <f>SUM(J409,J441)</f>
        <v>0</v>
      </c>
      <c r="K408" s="2495"/>
      <c r="L408" s="2484"/>
      <c r="M408" s="2484"/>
      <c r="N408" s="2484"/>
      <c r="O408" s="2484"/>
      <c r="P408" s="2484"/>
      <c r="Q408" s="2484"/>
      <c r="R408" s="2484"/>
      <c r="S408" s="2484"/>
      <c r="T408" s="2484"/>
      <c r="U408" s="2484"/>
      <c r="V408" s="2484"/>
      <c r="W408" s="2484"/>
      <c r="X408" s="2484"/>
      <c r="Y408" s="2484"/>
      <c r="Z408" s="2484"/>
      <c r="AA408" s="2484"/>
      <c r="AB408" s="2484"/>
      <c r="AC408" s="2484"/>
      <c r="AD408" s="2484"/>
      <c r="AE408" s="2484"/>
      <c r="AF408" s="2484"/>
      <c r="AG408" s="2484"/>
      <c r="AH408" s="2484"/>
      <c r="AI408" s="2484"/>
      <c r="AJ408" s="2484"/>
      <c r="AK408" s="2484"/>
      <c r="AL408" s="2484"/>
      <c r="AM408" s="2484"/>
      <c r="AN408" s="2484"/>
      <c r="AO408" s="2484"/>
      <c r="AP408" s="2484"/>
      <c r="AQ408" s="2484"/>
      <c r="AR408" s="2484"/>
      <c r="AS408" s="2484"/>
      <c r="AT408" s="2484"/>
      <c r="AU408" s="2484"/>
      <c r="AV408" s="2484"/>
      <c r="AW408" s="2484"/>
      <c r="AX408" s="2484"/>
      <c r="AY408" s="2484"/>
      <c r="AZ408" s="2484"/>
      <c r="BA408" s="2484"/>
      <c r="BB408" s="2484"/>
      <c r="BC408" s="2484"/>
      <c r="BD408" s="2484"/>
      <c r="BE408" s="2484"/>
      <c r="BF408" s="2484"/>
      <c r="BG408" s="2484"/>
      <c r="BH408" s="2484"/>
      <c r="BI408" s="2484"/>
      <c r="BJ408" s="2484"/>
      <c r="BK408" s="2484"/>
      <c r="BL408" s="2484"/>
      <c r="BM408" s="2484"/>
      <c r="BN408" s="2484"/>
      <c r="BO408" s="2484"/>
      <c r="BP408" s="2484"/>
      <c r="BQ408" s="2484"/>
      <c r="BR408" s="2484"/>
      <c r="BS408" s="2484"/>
      <c r="BT408" s="2484"/>
      <c r="BU408" s="2484"/>
      <c r="BV408" s="2484"/>
      <c r="BW408" s="2484"/>
      <c r="BX408" s="2484"/>
      <c r="BY408" s="2484"/>
      <c r="BZ408" s="2484"/>
      <c r="CA408" s="2484"/>
      <c r="CB408" s="2484"/>
      <c r="CC408" s="2484"/>
      <c r="CD408" s="2484"/>
      <c r="CE408" s="2484"/>
      <c r="CF408" s="2484"/>
      <c r="CG408" s="2484"/>
      <c r="CH408" s="2484"/>
      <c r="CI408" s="2484"/>
      <c r="CJ408" s="2484"/>
      <c r="CK408" s="2484"/>
      <c r="CL408" s="2484"/>
      <c r="CM408" s="2484"/>
      <c r="CN408" s="2484"/>
      <c r="CO408" s="2484"/>
      <c r="CP408" s="2484"/>
      <c r="CQ408" s="2484"/>
      <c r="CR408" s="2484"/>
      <c r="CS408" s="2484"/>
      <c r="CT408" s="2484"/>
      <c r="CU408" s="2484"/>
      <c r="CV408" s="2484"/>
      <c r="CW408" s="2484"/>
      <c r="CX408" s="2484"/>
      <c r="CY408" s="2484"/>
      <c r="CZ408" s="2484"/>
      <c r="DA408" s="2484"/>
      <c r="DB408" s="2484"/>
      <c r="DC408" s="2484"/>
      <c r="DD408" s="2484"/>
      <c r="DE408" s="2484"/>
      <c r="DF408" s="2484"/>
      <c r="DG408" s="2484"/>
      <c r="DH408" s="2484"/>
      <c r="DI408" s="2484"/>
      <c r="DJ408" s="2484"/>
      <c r="DK408" s="2484"/>
      <c r="DL408" s="2484"/>
      <c r="DM408" s="2484"/>
      <c r="DN408" s="2484"/>
      <c r="DO408" s="2484"/>
      <c r="DP408" s="2484"/>
      <c r="DQ408" s="2484"/>
      <c r="DR408" s="2484"/>
      <c r="DS408" s="2484"/>
      <c r="DT408" s="2484"/>
      <c r="DU408" s="2484"/>
      <c r="DV408" s="2484"/>
      <c r="DW408" s="2484"/>
      <c r="DX408" s="2484"/>
      <c r="DY408" s="2484"/>
      <c r="DZ408" s="2484"/>
      <c r="EA408" s="2484"/>
      <c r="EB408" s="2484"/>
      <c r="EC408" s="2484"/>
      <c r="ED408" s="2484"/>
      <c r="EE408" s="2484"/>
      <c r="EF408" s="2484"/>
      <c r="EG408" s="2484"/>
      <c r="EH408" s="2484"/>
      <c r="EI408" s="2484"/>
      <c r="EJ408" s="2484"/>
      <c r="EK408" s="2484"/>
      <c r="EL408" s="2484"/>
      <c r="EM408" s="2484"/>
      <c r="EN408" s="2484"/>
      <c r="EO408" s="2484"/>
      <c r="EP408" s="2484"/>
      <c r="EQ408" s="2484"/>
      <c r="ER408" s="2484"/>
      <c r="ES408" s="2484"/>
      <c r="ET408" s="2484"/>
      <c r="EU408" s="2484"/>
      <c r="EV408" s="2484"/>
      <c r="EW408" s="2484"/>
      <c r="EX408" s="2484"/>
      <c r="EY408" s="2484"/>
      <c r="EZ408" s="2484"/>
      <c r="FA408" s="2484"/>
      <c r="FB408" s="2484"/>
      <c r="FC408" s="2484"/>
      <c r="FD408" s="2484"/>
      <c r="FE408" s="2484"/>
      <c r="FF408" s="2484"/>
      <c r="FG408" s="2484"/>
      <c r="FH408" s="2484"/>
      <c r="FI408" s="2484"/>
      <c r="FJ408" s="2484"/>
      <c r="FK408" s="2484"/>
      <c r="FL408" s="2484"/>
      <c r="FM408" s="2484"/>
      <c r="FN408" s="2484"/>
      <c r="FO408" s="2484"/>
      <c r="FP408" s="2484"/>
      <c r="FQ408" s="2484"/>
      <c r="FR408" s="2484"/>
      <c r="FS408" s="2484"/>
      <c r="FT408" s="2484"/>
      <c r="FU408" s="2484"/>
      <c r="FV408" s="2484"/>
      <c r="FW408" s="2484"/>
      <c r="FX408" s="2484"/>
      <c r="FY408" s="2484"/>
      <c r="FZ408" s="2484"/>
      <c r="GA408" s="2484"/>
      <c r="GB408" s="2484"/>
      <c r="GC408" s="2484"/>
      <c r="GD408" s="2484"/>
      <c r="GE408" s="2484"/>
      <c r="GF408" s="2484"/>
      <c r="GG408" s="2484"/>
      <c r="GH408" s="2484"/>
      <c r="GI408" s="2484"/>
      <c r="GJ408" s="2484"/>
      <c r="GK408" s="2484"/>
      <c r="GL408" s="2484"/>
      <c r="GM408" s="2484"/>
      <c r="GN408" s="2484"/>
      <c r="GO408" s="2484"/>
      <c r="GP408" s="2484"/>
      <c r="GQ408" s="2484"/>
      <c r="GR408" s="2484"/>
      <c r="GS408" s="2484"/>
      <c r="GT408" s="2484"/>
      <c r="GU408" s="2484"/>
      <c r="GV408" s="2484"/>
      <c r="GW408" s="2484"/>
      <c r="GX408" s="2484"/>
      <c r="GY408" s="2484"/>
      <c r="GZ408" s="2484"/>
      <c r="HA408" s="2484"/>
      <c r="HB408" s="2484"/>
      <c r="HC408" s="2484"/>
      <c r="HD408" s="2484"/>
      <c r="HE408" s="2484"/>
      <c r="HF408" s="2484"/>
      <c r="HG408" s="2484"/>
      <c r="HH408" s="2484"/>
      <c r="HI408" s="2484"/>
      <c r="HJ408" s="2484"/>
      <c r="HK408" s="2484"/>
      <c r="HL408" s="2484"/>
      <c r="HM408" s="2484"/>
      <c r="HN408" s="2484"/>
      <c r="HO408" s="2484"/>
      <c r="HP408" s="2484"/>
      <c r="HQ408" s="2484"/>
      <c r="HR408" s="2484"/>
    </row>
    <row r="409" spans="1:226" s="2485" customFormat="1" ht="21">
      <c r="A409" s="3112"/>
      <c r="B409" s="3113"/>
      <c r="C409" s="3134"/>
      <c r="D409" s="3134"/>
      <c r="E409" s="2486" t="s">
        <v>1092</v>
      </c>
      <c r="F409" s="2487">
        <f>SUM(F410,F421)</f>
        <v>520000</v>
      </c>
      <c r="G409" s="2487">
        <f>SUM(G410,G421)</f>
        <v>0</v>
      </c>
      <c r="H409" s="2487">
        <f>SUM(H410,H421)</f>
        <v>0</v>
      </c>
      <c r="I409" s="2487">
        <f>SUM(I410,I421)</f>
        <v>520000</v>
      </c>
      <c r="J409" s="2488">
        <f>SUM(J410,J421)</f>
        <v>0</v>
      </c>
      <c r="K409" s="2482"/>
    </row>
    <row r="410" spans="1:226" s="2485" customFormat="1" ht="22.5">
      <c r="A410" s="3112"/>
      <c r="B410" s="3113"/>
      <c r="C410" s="3134"/>
      <c r="D410" s="3134"/>
      <c r="E410" s="2497" t="s">
        <v>1093</v>
      </c>
      <c r="F410" s="2498">
        <f>SUM(F411:F420)</f>
        <v>497000</v>
      </c>
      <c r="G410" s="2498">
        <f>SUM(G411:G420)</f>
        <v>0</v>
      </c>
      <c r="H410" s="2498">
        <f>SUM(H411:H420)</f>
        <v>0</v>
      </c>
      <c r="I410" s="2498">
        <f>SUM(I411:I420)</f>
        <v>497000</v>
      </c>
      <c r="J410" s="2499">
        <f>SUM(J411:J420)</f>
        <v>0</v>
      </c>
      <c r="K410" s="2482"/>
    </row>
    <row r="411" spans="1:226" s="2485" customFormat="1" ht="15" customHeight="1">
      <c r="A411" s="3112"/>
      <c r="B411" s="3113"/>
      <c r="C411" s="3134"/>
      <c r="D411" s="3134"/>
      <c r="E411" s="2489" t="s">
        <v>591</v>
      </c>
      <c r="F411" s="2490">
        <f t="shared" ref="F411:F420" si="46">SUM(G411:J411)</f>
        <v>288750</v>
      </c>
      <c r="G411" s="2490"/>
      <c r="H411" s="2490"/>
      <c r="I411" s="2490">
        <v>288750</v>
      </c>
      <c r="J411" s="2491"/>
      <c r="K411" s="2482"/>
    </row>
    <row r="412" spans="1:226" s="2485" customFormat="1" ht="15" customHeight="1">
      <c r="A412" s="3112"/>
      <c r="B412" s="3113"/>
      <c r="C412" s="3134"/>
      <c r="D412" s="3134"/>
      <c r="E412" s="2489" t="s">
        <v>592</v>
      </c>
      <c r="F412" s="2490">
        <f t="shared" si="46"/>
        <v>96250</v>
      </c>
      <c r="G412" s="2490"/>
      <c r="H412" s="2490"/>
      <c r="I412" s="2490">
        <v>96250</v>
      </c>
      <c r="J412" s="2491"/>
      <c r="K412" s="2482"/>
    </row>
    <row r="413" spans="1:226" s="2485" customFormat="1" ht="15" customHeight="1">
      <c r="A413" s="3112"/>
      <c r="B413" s="3113"/>
      <c r="C413" s="3134"/>
      <c r="D413" s="3134"/>
      <c r="E413" s="2489" t="s">
        <v>593</v>
      </c>
      <c r="F413" s="2490">
        <f t="shared" si="46"/>
        <v>22500</v>
      </c>
      <c r="G413" s="2490"/>
      <c r="H413" s="2490"/>
      <c r="I413" s="2490">
        <v>22500</v>
      </c>
      <c r="J413" s="2491"/>
      <c r="K413" s="2482"/>
    </row>
    <row r="414" spans="1:226" s="2485" customFormat="1" ht="15" customHeight="1">
      <c r="A414" s="3112"/>
      <c r="B414" s="3113"/>
      <c r="C414" s="3134"/>
      <c r="D414" s="3134"/>
      <c r="E414" s="2489" t="s">
        <v>594</v>
      </c>
      <c r="F414" s="2490">
        <f t="shared" si="46"/>
        <v>7500</v>
      </c>
      <c r="G414" s="2490"/>
      <c r="H414" s="2490"/>
      <c r="I414" s="2490">
        <v>7500</v>
      </c>
      <c r="J414" s="2491"/>
      <c r="K414" s="2482"/>
    </row>
    <row r="415" spans="1:226" s="2485" customFormat="1" ht="15" customHeight="1">
      <c r="A415" s="3112"/>
      <c r="B415" s="3113"/>
      <c r="C415" s="3134"/>
      <c r="D415" s="3134"/>
      <c r="E415" s="2489" t="s">
        <v>595</v>
      </c>
      <c r="F415" s="2490">
        <f t="shared" si="46"/>
        <v>54000</v>
      </c>
      <c r="G415" s="2490"/>
      <c r="H415" s="2490"/>
      <c r="I415" s="2490">
        <v>54000</v>
      </c>
      <c r="J415" s="2491"/>
      <c r="K415" s="2482"/>
    </row>
    <row r="416" spans="1:226" s="2485" customFormat="1" ht="15" customHeight="1">
      <c r="A416" s="3112"/>
      <c r="B416" s="3113"/>
      <c r="C416" s="3134"/>
      <c r="D416" s="3134"/>
      <c r="E416" s="2489" t="s">
        <v>596</v>
      </c>
      <c r="F416" s="2490">
        <f t="shared" si="46"/>
        <v>18000</v>
      </c>
      <c r="G416" s="2490"/>
      <c r="H416" s="2490"/>
      <c r="I416" s="2490">
        <v>18000</v>
      </c>
      <c r="J416" s="2491"/>
      <c r="K416" s="2482"/>
    </row>
    <row r="417" spans="1:11" s="2485" customFormat="1" ht="15" customHeight="1">
      <c r="A417" s="3112"/>
      <c r="B417" s="3113"/>
      <c r="C417" s="3134"/>
      <c r="D417" s="3134"/>
      <c r="E417" s="2489" t="s">
        <v>597</v>
      </c>
      <c r="F417" s="2490">
        <f t="shared" si="46"/>
        <v>7500</v>
      </c>
      <c r="G417" s="2490"/>
      <c r="H417" s="2490"/>
      <c r="I417" s="2490">
        <v>7500</v>
      </c>
      <c r="J417" s="2491"/>
      <c r="K417" s="2482"/>
    </row>
    <row r="418" spans="1:11" s="2485" customFormat="1" ht="15" customHeight="1">
      <c r="A418" s="3112"/>
      <c r="B418" s="3113"/>
      <c r="C418" s="3134"/>
      <c r="D418" s="3134"/>
      <c r="E418" s="2489" t="s">
        <v>598</v>
      </c>
      <c r="F418" s="2490">
        <f t="shared" si="46"/>
        <v>2500</v>
      </c>
      <c r="G418" s="2490"/>
      <c r="H418" s="2490"/>
      <c r="I418" s="2490">
        <v>2500</v>
      </c>
      <c r="J418" s="2491"/>
      <c r="K418" s="2482"/>
    </row>
    <row r="419" spans="1:11" s="2485" customFormat="1" ht="15" hidden="1" customHeight="1">
      <c r="A419" s="3112"/>
      <c r="B419" s="3113"/>
      <c r="C419" s="3134"/>
      <c r="D419" s="3134"/>
      <c r="E419" s="2489" t="s">
        <v>599</v>
      </c>
      <c r="F419" s="2490">
        <f t="shared" si="46"/>
        <v>0</v>
      </c>
      <c r="G419" s="2490"/>
      <c r="H419" s="2490"/>
      <c r="I419" s="2490"/>
      <c r="J419" s="2491"/>
      <c r="K419" s="2482"/>
    </row>
    <row r="420" spans="1:11" s="2485" customFormat="1" ht="15" hidden="1" customHeight="1">
      <c r="A420" s="3112"/>
      <c r="B420" s="3113"/>
      <c r="C420" s="3134"/>
      <c r="D420" s="3134"/>
      <c r="E420" s="2489" t="s">
        <v>600</v>
      </c>
      <c r="F420" s="2490">
        <f t="shared" si="46"/>
        <v>0</v>
      </c>
      <c r="G420" s="2490"/>
      <c r="H420" s="2490"/>
      <c r="I420" s="2490"/>
      <c r="J420" s="2491"/>
      <c r="K420" s="2482"/>
    </row>
    <row r="421" spans="1:11" s="2485" customFormat="1" ht="22.5">
      <c r="A421" s="3112"/>
      <c r="B421" s="3113"/>
      <c r="C421" s="3134"/>
      <c r="D421" s="3134"/>
      <c r="E421" s="2497" t="s">
        <v>1094</v>
      </c>
      <c r="F421" s="2498">
        <f>SUM(F422:F440)</f>
        <v>23000</v>
      </c>
      <c r="G421" s="2498">
        <f t="shared" ref="G421:J421" si="47">SUM(G422:G440)</f>
        <v>0</v>
      </c>
      <c r="H421" s="2498">
        <f t="shared" si="47"/>
        <v>0</v>
      </c>
      <c r="I421" s="2498">
        <f t="shared" si="47"/>
        <v>23000</v>
      </c>
      <c r="J421" s="2499">
        <f t="shared" si="47"/>
        <v>0</v>
      </c>
      <c r="K421" s="2482"/>
    </row>
    <row r="422" spans="1:11" s="2485" customFormat="1" ht="15" hidden="1" customHeight="1">
      <c r="A422" s="3112"/>
      <c r="B422" s="3113"/>
      <c r="C422" s="3134"/>
      <c r="D422" s="3134"/>
      <c r="E422" s="2489" t="s">
        <v>601</v>
      </c>
      <c r="F422" s="2490">
        <f t="shared" ref="F422:F440" si="48">SUM(G422:J422)</f>
        <v>0</v>
      </c>
      <c r="G422" s="2490"/>
      <c r="H422" s="2490"/>
      <c r="I422" s="2490"/>
      <c r="J422" s="2491"/>
      <c r="K422" s="2482"/>
    </row>
    <row r="423" spans="1:11" s="2485" customFormat="1" ht="15" hidden="1" customHeight="1">
      <c r="A423" s="3112"/>
      <c r="B423" s="3113"/>
      <c r="C423" s="3134"/>
      <c r="D423" s="3134"/>
      <c r="E423" s="2489" t="s">
        <v>603</v>
      </c>
      <c r="F423" s="2490">
        <f t="shared" si="48"/>
        <v>0</v>
      </c>
      <c r="G423" s="2490"/>
      <c r="H423" s="2490"/>
      <c r="I423" s="2490"/>
      <c r="J423" s="2491"/>
      <c r="K423" s="2482"/>
    </row>
    <row r="424" spans="1:11" s="2485" customFormat="1" ht="15" customHeight="1">
      <c r="A424" s="3112"/>
      <c r="B424" s="3113"/>
      <c r="C424" s="3134"/>
      <c r="D424" s="3134"/>
      <c r="E424" s="2489" t="s">
        <v>604</v>
      </c>
      <c r="F424" s="2490">
        <f t="shared" si="48"/>
        <v>3000</v>
      </c>
      <c r="G424" s="2490"/>
      <c r="H424" s="2490"/>
      <c r="I424" s="2490">
        <v>3000</v>
      </c>
      <c r="J424" s="2491"/>
      <c r="K424" s="2482"/>
    </row>
    <row r="425" spans="1:11" s="2485" customFormat="1" ht="15" customHeight="1">
      <c r="A425" s="3112"/>
      <c r="B425" s="3113"/>
      <c r="C425" s="3134"/>
      <c r="D425" s="3134"/>
      <c r="E425" s="2489" t="s">
        <v>605</v>
      </c>
      <c r="F425" s="2490">
        <f t="shared" si="48"/>
        <v>1000</v>
      </c>
      <c r="G425" s="2490"/>
      <c r="H425" s="2490"/>
      <c r="I425" s="2490">
        <v>1000</v>
      </c>
      <c r="J425" s="2491"/>
      <c r="K425" s="2482"/>
    </row>
    <row r="426" spans="1:11" s="2485" customFormat="1" ht="15" customHeight="1">
      <c r="A426" s="3112"/>
      <c r="B426" s="3113"/>
      <c r="C426" s="3134"/>
      <c r="D426" s="3134"/>
      <c r="E426" s="2489" t="s">
        <v>606</v>
      </c>
      <c r="F426" s="2490">
        <f t="shared" si="48"/>
        <v>2250</v>
      </c>
      <c r="G426" s="2490"/>
      <c r="H426" s="2490"/>
      <c r="I426" s="2490">
        <v>2250</v>
      </c>
      <c r="J426" s="2491"/>
      <c r="K426" s="2482"/>
    </row>
    <row r="427" spans="1:11" s="2485" customFormat="1" ht="15" customHeight="1">
      <c r="A427" s="3112"/>
      <c r="B427" s="3113"/>
      <c r="C427" s="3134"/>
      <c r="D427" s="3134"/>
      <c r="E427" s="2489" t="s">
        <v>607</v>
      </c>
      <c r="F427" s="2490">
        <f t="shared" si="48"/>
        <v>750</v>
      </c>
      <c r="G427" s="2490"/>
      <c r="H427" s="2490"/>
      <c r="I427" s="2490">
        <v>750</v>
      </c>
      <c r="J427" s="2491"/>
      <c r="K427" s="2482"/>
    </row>
    <row r="428" spans="1:11" s="2485" customFormat="1" ht="15" customHeight="1">
      <c r="A428" s="3112"/>
      <c r="B428" s="3113"/>
      <c r="C428" s="3134"/>
      <c r="D428" s="3134"/>
      <c r="E428" s="2489" t="s">
        <v>608</v>
      </c>
      <c r="F428" s="2490">
        <f t="shared" si="48"/>
        <v>1500</v>
      </c>
      <c r="G428" s="2490"/>
      <c r="H428" s="2490"/>
      <c r="I428" s="2490">
        <v>1500</v>
      </c>
      <c r="J428" s="2491"/>
      <c r="K428" s="2482"/>
    </row>
    <row r="429" spans="1:11" s="2485" customFormat="1" ht="15" customHeight="1">
      <c r="A429" s="3112"/>
      <c r="B429" s="3113"/>
      <c r="C429" s="3134"/>
      <c r="D429" s="3134"/>
      <c r="E429" s="2489" t="s">
        <v>609</v>
      </c>
      <c r="F429" s="2490">
        <f t="shared" si="48"/>
        <v>500</v>
      </c>
      <c r="G429" s="2490"/>
      <c r="H429" s="2490"/>
      <c r="I429" s="2490">
        <v>500</v>
      </c>
      <c r="J429" s="2491"/>
      <c r="K429" s="2482"/>
    </row>
    <row r="430" spans="1:11" s="2485" customFormat="1" ht="15" hidden="1" customHeight="1">
      <c r="A430" s="3112"/>
      <c r="B430" s="3113"/>
      <c r="C430" s="3134"/>
      <c r="D430" s="3134"/>
      <c r="E430" s="2489" t="s">
        <v>610</v>
      </c>
      <c r="F430" s="2490">
        <f t="shared" si="48"/>
        <v>0</v>
      </c>
      <c r="G430" s="2490"/>
      <c r="H430" s="2490"/>
      <c r="I430" s="2490"/>
      <c r="J430" s="2491"/>
      <c r="K430" s="2482"/>
    </row>
    <row r="431" spans="1:11" s="2485" customFormat="1" ht="15" hidden="1" customHeight="1">
      <c r="A431" s="3112"/>
      <c r="B431" s="3113"/>
      <c r="C431" s="3134"/>
      <c r="D431" s="3134"/>
      <c r="E431" s="2489" t="s">
        <v>611</v>
      </c>
      <c r="F431" s="2490">
        <f t="shared" si="48"/>
        <v>0</v>
      </c>
      <c r="G431" s="2490"/>
      <c r="H431" s="2490"/>
      <c r="I431" s="2490"/>
      <c r="J431" s="2491"/>
      <c r="K431" s="2482"/>
    </row>
    <row r="432" spans="1:11" s="2485" customFormat="1" ht="15" customHeight="1">
      <c r="A432" s="3112"/>
      <c r="B432" s="3113"/>
      <c r="C432" s="3134"/>
      <c r="D432" s="3134"/>
      <c r="E432" s="2489" t="s">
        <v>612</v>
      </c>
      <c r="F432" s="2490">
        <f t="shared" si="48"/>
        <v>3750</v>
      </c>
      <c r="G432" s="2490"/>
      <c r="H432" s="2490"/>
      <c r="I432" s="2490">
        <v>3750</v>
      </c>
      <c r="J432" s="2491"/>
      <c r="K432" s="2482"/>
    </row>
    <row r="433" spans="1:11" s="2485" customFormat="1" ht="15" customHeight="1">
      <c r="A433" s="3112"/>
      <c r="B433" s="3113"/>
      <c r="C433" s="3134"/>
      <c r="D433" s="3134"/>
      <c r="E433" s="2489" t="s">
        <v>613</v>
      </c>
      <c r="F433" s="2490">
        <f t="shared" si="48"/>
        <v>1250</v>
      </c>
      <c r="G433" s="2490"/>
      <c r="H433" s="2490"/>
      <c r="I433" s="2490">
        <v>1250</v>
      </c>
      <c r="J433" s="2491"/>
      <c r="K433" s="2482"/>
    </row>
    <row r="434" spans="1:11" s="2485" customFormat="1" ht="15" customHeight="1">
      <c r="A434" s="3112"/>
      <c r="B434" s="3113"/>
      <c r="C434" s="3134"/>
      <c r="D434" s="3134"/>
      <c r="E434" s="2489" t="s">
        <v>614</v>
      </c>
      <c r="F434" s="2490">
        <f t="shared" si="48"/>
        <v>1500</v>
      </c>
      <c r="G434" s="2490"/>
      <c r="H434" s="2490"/>
      <c r="I434" s="2490">
        <v>1500</v>
      </c>
      <c r="J434" s="2491"/>
      <c r="K434" s="2482"/>
    </row>
    <row r="435" spans="1:11" s="2485" customFormat="1" ht="15" customHeight="1">
      <c r="A435" s="3112"/>
      <c r="B435" s="3113"/>
      <c r="C435" s="3134"/>
      <c r="D435" s="3134"/>
      <c r="E435" s="2489" t="s">
        <v>615</v>
      </c>
      <c r="F435" s="2490">
        <f t="shared" si="48"/>
        <v>500</v>
      </c>
      <c r="G435" s="2490"/>
      <c r="H435" s="2490"/>
      <c r="I435" s="2490">
        <v>500</v>
      </c>
      <c r="J435" s="2491"/>
      <c r="K435" s="2482"/>
    </row>
    <row r="436" spans="1:11" s="2485" customFormat="1" ht="15" customHeight="1">
      <c r="A436" s="3112"/>
      <c r="B436" s="3113"/>
      <c r="C436" s="3134"/>
      <c r="D436" s="3134"/>
      <c r="E436" s="2489" t="s">
        <v>616</v>
      </c>
      <c r="F436" s="2490">
        <f t="shared" si="48"/>
        <v>5250</v>
      </c>
      <c r="G436" s="2490"/>
      <c r="H436" s="2490"/>
      <c r="I436" s="2490">
        <v>5250</v>
      </c>
      <c r="J436" s="2491"/>
      <c r="K436" s="2482"/>
    </row>
    <row r="437" spans="1:11" s="2485" customFormat="1" ht="15" customHeight="1">
      <c r="A437" s="3112"/>
      <c r="B437" s="3113"/>
      <c r="C437" s="3134"/>
      <c r="D437" s="3134"/>
      <c r="E437" s="2489" t="s">
        <v>617</v>
      </c>
      <c r="F437" s="2490">
        <f t="shared" si="48"/>
        <v>1750</v>
      </c>
      <c r="G437" s="2490"/>
      <c r="H437" s="2490"/>
      <c r="I437" s="2490">
        <v>1750</v>
      </c>
      <c r="J437" s="2491"/>
      <c r="K437" s="2482"/>
    </row>
    <row r="438" spans="1:11" s="2485" customFormat="1" ht="15" hidden="1" customHeight="1">
      <c r="A438" s="3112"/>
      <c r="B438" s="3113"/>
      <c r="C438" s="3134"/>
      <c r="D438" s="3134"/>
      <c r="E438" s="2489" t="s">
        <v>637</v>
      </c>
      <c r="F438" s="2490">
        <f t="shared" si="48"/>
        <v>0</v>
      </c>
      <c r="G438" s="2490"/>
      <c r="H438" s="2490"/>
      <c r="I438" s="2490"/>
      <c r="J438" s="2491"/>
      <c r="K438" s="2482"/>
    </row>
    <row r="439" spans="1:11" s="2485" customFormat="1" ht="15" hidden="1" customHeight="1">
      <c r="A439" s="3112"/>
      <c r="B439" s="3113"/>
      <c r="C439" s="3134"/>
      <c r="D439" s="3134"/>
      <c r="E439" s="2489" t="s">
        <v>431</v>
      </c>
      <c r="F439" s="2490">
        <f t="shared" si="48"/>
        <v>0</v>
      </c>
      <c r="G439" s="2490"/>
      <c r="H439" s="2490"/>
      <c r="I439" s="2490"/>
      <c r="J439" s="2491"/>
      <c r="K439" s="2482"/>
    </row>
    <row r="440" spans="1:11" s="2485" customFormat="1" ht="15" hidden="1" customHeight="1">
      <c r="A440" s="3112"/>
      <c r="B440" s="3113"/>
      <c r="C440" s="3134"/>
      <c r="D440" s="3134"/>
      <c r="E440" s="2489" t="s">
        <v>640</v>
      </c>
      <c r="F440" s="2490">
        <f t="shared" si="48"/>
        <v>0</v>
      </c>
      <c r="G440" s="2490"/>
      <c r="H440" s="2490"/>
      <c r="I440" s="2490"/>
      <c r="J440" s="2491"/>
      <c r="K440" s="2482"/>
    </row>
    <row r="441" spans="1:11" s="2485" customFormat="1" ht="15" customHeight="1">
      <c r="A441" s="3112"/>
      <c r="B441" s="3113"/>
      <c r="C441" s="3134"/>
      <c r="D441" s="3134"/>
      <c r="E441" s="2492" t="s">
        <v>1087</v>
      </c>
      <c r="F441" s="2487">
        <f>SUM(F442:F443)</f>
        <v>0</v>
      </c>
      <c r="G441" s="2487">
        <f>SUM(G442:G443)</f>
        <v>0</v>
      </c>
      <c r="H441" s="2487">
        <f>SUM(H442:H443)</f>
        <v>0</v>
      </c>
      <c r="I441" s="2487">
        <f>SUM(I442:I443)</f>
        <v>0</v>
      </c>
      <c r="J441" s="2488">
        <f>SUM(J442:J443)</f>
        <v>0</v>
      </c>
      <c r="K441" s="2482"/>
    </row>
    <row r="442" spans="1:11" s="2485" customFormat="1" ht="15" hidden="1" customHeight="1">
      <c r="A442" s="2504"/>
      <c r="B442" s="2505"/>
      <c r="C442" s="2507"/>
      <c r="D442" s="2507"/>
      <c r="E442" s="2508" t="s">
        <v>691</v>
      </c>
      <c r="F442" s="2509">
        <f>SUM(G442:J442)</f>
        <v>0</v>
      </c>
      <c r="G442" s="2509"/>
      <c r="H442" s="2509"/>
      <c r="I442" s="2509"/>
      <c r="J442" s="2510"/>
      <c r="K442" s="2482"/>
    </row>
    <row r="443" spans="1:11" s="2485" customFormat="1" ht="15" hidden="1" customHeight="1">
      <c r="A443" s="2504"/>
      <c r="B443" s="2505"/>
      <c r="C443" s="2507"/>
      <c r="D443" s="2507"/>
      <c r="E443" s="2522">
        <v>6069</v>
      </c>
      <c r="F443" s="2509">
        <f>SUM(G443:J443)</f>
        <v>0</v>
      </c>
      <c r="G443" s="2509"/>
      <c r="H443" s="2509"/>
      <c r="I443" s="2509"/>
      <c r="J443" s="2510"/>
      <c r="K443" s="2482"/>
    </row>
    <row r="444" spans="1:11" s="2485" customFormat="1" ht="22.5">
      <c r="A444" s="3112" t="s">
        <v>1134</v>
      </c>
      <c r="B444" s="3113" t="s">
        <v>1135</v>
      </c>
      <c r="C444" s="3114">
        <v>600</v>
      </c>
      <c r="D444" s="3134" t="s">
        <v>675</v>
      </c>
      <c r="E444" s="2479" t="s">
        <v>1086</v>
      </c>
      <c r="F444" s="2480">
        <f>SUM(F445,F454)</f>
        <v>54192244</v>
      </c>
      <c r="G444" s="2480">
        <f>SUM(G445,G454)</f>
        <v>32162877</v>
      </c>
      <c r="H444" s="2480">
        <f>SUM(H445,H454)</f>
        <v>22029367</v>
      </c>
      <c r="I444" s="2480">
        <f>SUM(I445,I454)</f>
        <v>0</v>
      </c>
      <c r="J444" s="2481">
        <f>SUM(J445,J454)</f>
        <v>0</v>
      </c>
      <c r="K444" s="2482"/>
    </row>
    <row r="445" spans="1:11" s="2485" customFormat="1" ht="21">
      <c r="A445" s="3112"/>
      <c r="B445" s="3113"/>
      <c r="C445" s="3114"/>
      <c r="D445" s="3134"/>
      <c r="E445" s="2486" t="s">
        <v>1092</v>
      </c>
      <c r="F445" s="2487">
        <f>SUM(F446,F450)</f>
        <v>0</v>
      </c>
      <c r="G445" s="2487">
        <f>SUM(G446,G450)</f>
        <v>0</v>
      </c>
      <c r="H445" s="2487">
        <f>SUM(H446,H450)</f>
        <v>0</v>
      </c>
      <c r="I445" s="2487">
        <f>SUM(I446,I450)</f>
        <v>0</v>
      </c>
      <c r="J445" s="2488">
        <f>SUM(J446,J450)</f>
        <v>0</v>
      </c>
      <c r="K445" s="2482"/>
    </row>
    <row r="446" spans="1:11" s="2485" customFormat="1" ht="22.5" hidden="1">
      <c r="A446" s="3112"/>
      <c r="B446" s="3113"/>
      <c r="C446" s="3114"/>
      <c r="D446" s="3134"/>
      <c r="E446" s="2497" t="s">
        <v>1093</v>
      </c>
      <c r="F446" s="2498">
        <f>SUM(F447:F449)</f>
        <v>0</v>
      </c>
      <c r="G446" s="2498">
        <f>SUM(G447:G449)</f>
        <v>0</v>
      </c>
      <c r="H446" s="2498">
        <f>SUM(H447:H449)</f>
        <v>0</v>
      </c>
      <c r="I446" s="2498">
        <f>SUM(I447:I449)</f>
        <v>0</v>
      </c>
      <c r="J446" s="2499">
        <f>SUM(J447:J449)</f>
        <v>0</v>
      </c>
      <c r="K446" s="2482"/>
    </row>
    <row r="447" spans="1:11" s="2485" customFormat="1" ht="15" hidden="1" customHeight="1">
      <c r="A447" s="3112"/>
      <c r="B447" s="3113"/>
      <c r="C447" s="3114"/>
      <c r="D447" s="3134"/>
      <c r="E447" s="2489"/>
      <c r="F447" s="2490">
        <f>SUM(G447:J447)</f>
        <v>0</v>
      </c>
      <c r="G447" s="2490"/>
      <c r="H447" s="2490"/>
      <c r="I447" s="2490"/>
      <c r="J447" s="2491"/>
      <c r="K447" s="2482"/>
    </row>
    <row r="448" spans="1:11" s="2485" customFormat="1" ht="15" hidden="1" customHeight="1">
      <c r="A448" s="3112"/>
      <c r="B448" s="3113"/>
      <c r="C448" s="3114"/>
      <c r="D448" s="3134"/>
      <c r="E448" s="2489"/>
      <c r="F448" s="2490">
        <f>SUM(G448:J448)</f>
        <v>0</v>
      </c>
      <c r="G448" s="2490"/>
      <c r="H448" s="2490"/>
      <c r="I448" s="2490"/>
      <c r="J448" s="2491"/>
      <c r="K448" s="2482"/>
    </row>
    <row r="449" spans="1:226" s="2485" customFormat="1" ht="15" hidden="1" customHeight="1">
      <c r="A449" s="3112"/>
      <c r="B449" s="3113"/>
      <c r="C449" s="3114"/>
      <c r="D449" s="3134"/>
      <c r="E449" s="2489"/>
      <c r="F449" s="2490">
        <f>SUM(G449:J449)</f>
        <v>0</v>
      </c>
      <c r="G449" s="2490"/>
      <c r="H449" s="2490"/>
      <c r="I449" s="2490"/>
      <c r="J449" s="2491"/>
      <c r="K449" s="2482"/>
    </row>
    <row r="450" spans="1:226" s="2485" customFormat="1" ht="22.5" hidden="1">
      <c r="A450" s="3112"/>
      <c r="B450" s="3113"/>
      <c r="C450" s="3114"/>
      <c r="D450" s="3134"/>
      <c r="E450" s="2497" t="s">
        <v>1094</v>
      </c>
      <c r="F450" s="2498">
        <f>SUM(F451:F453)</f>
        <v>0</v>
      </c>
      <c r="G450" s="2498">
        <f>SUM(G451:G453)</f>
        <v>0</v>
      </c>
      <c r="H450" s="2498">
        <f>SUM(H451:H453)</f>
        <v>0</v>
      </c>
      <c r="I450" s="2498">
        <f>SUM(I451:I453)</f>
        <v>0</v>
      </c>
      <c r="J450" s="2499">
        <f>SUM(J451:J453)</f>
        <v>0</v>
      </c>
      <c r="K450" s="2482"/>
      <c r="L450" s="2484"/>
      <c r="M450" s="2484"/>
      <c r="N450" s="2484"/>
      <c r="O450" s="2484"/>
      <c r="P450" s="2484"/>
      <c r="Q450" s="2484"/>
      <c r="R450" s="2484"/>
      <c r="S450" s="2484"/>
      <c r="T450" s="2484"/>
      <c r="U450" s="2484"/>
      <c r="V450" s="2484"/>
      <c r="W450" s="2484"/>
      <c r="X450" s="2484"/>
      <c r="Y450" s="2484"/>
      <c r="Z450" s="2484"/>
      <c r="AA450" s="2484"/>
      <c r="AB450" s="2484"/>
      <c r="AC450" s="2484"/>
      <c r="AD450" s="2484"/>
      <c r="AE450" s="2484"/>
      <c r="AF450" s="2484"/>
      <c r="AG450" s="2484"/>
      <c r="AH450" s="2484"/>
      <c r="AI450" s="2484"/>
      <c r="AJ450" s="2484"/>
      <c r="AK450" s="2484"/>
      <c r="AL450" s="2484"/>
      <c r="AM450" s="2484"/>
      <c r="AN450" s="2484"/>
      <c r="AO450" s="2484"/>
      <c r="AP450" s="2484"/>
      <c r="AQ450" s="2484"/>
      <c r="AR450" s="2484"/>
      <c r="AS450" s="2484"/>
      <c r="AT450" s="2484"/>
      <c r="AU450" s="2484"/>
      <c r="AV450" s="2484"/>
      <c r="AW450" s="2484"/>
      <c r="AX450" s="2484"/>
      <c r="AY450" s="2484"/>
      <c r="AZ450" s="2484"/>
      <c r="BA450" s="2484"/>
      <c r="BB450" s="2484"/>
      <c r="BC450" s="2484"/>
      <c r="BD450" s="2484"/>
      <c r="BE450" s="2484"/>
      <c r="BF450" s="2484"/>
      <c r="BG450" s="2484"/>
      <c r="BH450" s="2484"/>
      <c r="BI450" s="2484"/>
      <c r="BJ450" s="2484"/>
      <c r="BK450" s="2484"/>
      <c r="BL450" s="2484"/>
      <c r="BM450" s="2484"/>
      <c r="BN450" s="2484"/>
      <c r="BO450" s="2484"/>
      <c r="BP450" s="2484"/>
      <c r="BQ450" s="2484"/>
      <c r="BR450" s="2484"/>
      <c r="BS450" s="2484"/>
      <c r="BT450" s="2484"/>
      <c r="BU450" s="2484"/>
      <c r="BV450" s="2484"/>
      <c r="BW450" s="2484"/>
      <c r="BX450" s="2484"/>
      <c r="BY450" s="2484"/>
      <c r="BZ450" s="2484"/>
      <c r="CA450" s="2484"/>
      <c r="CB450" s="2484"/>
      <c r="CC450" s="2484"/>
      <c r="CD450" s="2484"/>
      <c r="CE450" s="2484"/>
      <c r="CF450" s="2484"/>
      <c r="CG450" s="2484"/>
      <c r="CH450" s="2484"/>
      <c r="CI450" s="2484"/>
      <c r="CJ450" s="2484"/>
      <c r="CK450" s="2484"/>
      <c r="CL450" s="2484"/>
      <c r="CM450" s="2484"/>
      <c r="CN450" s="2484"/>
      <c r="CO450" s="2484"/>
      <c r="CP450" s="2484"/>
      <c r="CQ450" s="2484"/>
      <c r="CR450" s="2484"/>
      <c r="CS450" s="2484"/>
      <c r="CT450" s="2484"/>
      <c r="CU450" s="2484"/>
      <c r="CV450" s="2484"/>
      <c r="CW450" s="2484"/>
      <c r="CX450" s="2484"/>
      <c r="CY450" s="2484"/>
      <c r="CZ450" s="2484"/>
      <c r="DA450" s="2484"/>
      <c r="DB450" s="2484"/>
      <c r="DC450" s="2484"/>
      <c r="DD450" s="2484"/>
      <c r="DE450" s="2484"/>
      <c r="DF450" s="2484"/>
      <c r="DG450" s="2484"/>
      <c r="DH450" s="2484"/>
      <c r="DI450" s="2484"/>
      <c r="DJ450" s="2484"/>
      <c r="DK450" s="2484"/>
      <c r="DL450" s="2484"/>
      <c r="DM450" s="2484"/>
      <c r="DN450" s="2484"/>
      <c r="DO450" s="2484"/>
      <c r="DP450" s="2484"/>
      <c r="DQ450" s="2484"/>
      <c r="DR450" s="2484"/>
      <c r="DS450" s="2484"/>
      <c r="DT450" s="2484"/>
      <c r="DU450" s="2484"/>
      <c r="DV450" s="2484"/>
      <c r="DW450" s="2484"/>
      <c r="DX450" s="2484"/>
      <c r="DY450" s="2484"/>
      <c r="DZ450" s="2484"/>
      <c r="EA450" s="2484"/>
      <c r="EB450" s="2484"/>
      <c r="EC450" s="2484"/>
      <c r="ED450" s="2484"/>
      <c r="EE450" s="2484"/>
      <c r="EF450" s="2484"/>
      <c r="EG450" s="2484"/>
      <c r="EH450" s="2484"/>
      <c r="EI450" s="2484"/>
      <c r="EJ450" s="2484"/>
      <c r="EK450" s="2484"/>
      <c r="EL450" s="2484"/>
      <c r="EM450" s="2484"/>
      <c r="EN450" s="2484"/>
      <c r="EO450" s="2484"/>
      <c r="EP450" s="2484"/>
      <c r="EQ450" s="2484"/>
      <c r="ER450" s="2484"/>
      <c r="ES450" s="2484"/>
      <c r="ET450" s="2484"/>
      <c r="EU450" s="2484"/>
      <c r="EV450" s="2484"/>
      <c r="EW450" s="2484"/>
      <c r="EX450" s="2484"/>
      <c r="EY450" s="2484"/>
      <c r="EZ450" s="2484"/>
      <c r="FA450" s="2484"/>
      <c r="FB450" s="2484"/>
      <c r="FC450" s="2484"/>
      <c r="FD450" s="2484"/>
      <c r="FE450" s="2484"/>
      <c r="FF450" s="2484"/>
      <c r="FG450" s="2484"/>
      <c r="FH450" s="2484"/>
      <c r="FI450" s="2484"/>
      <c r="FJ450" s="2484"/>
      <c r="FK450" s="2484"/>
      <c r="FL450" s="2484"/>
      <c r="FM450" s="2484"/>
      <c r="FN450" s="2484"/>
      <c r="FO450" s="2484"/>
      <c r="FP450" s="2484"/>
      <c r="FQ450" s="2484"/>
      <c r="FR450" s="2484"/>
      <c r="FS450" s="2484"/>
      <c r="FT450" s="2484"/>
      <c r="FU450" s="2484"/>
      <c r="FV450" s="2484"/>
      <c r="FW450" s="2484"/>
      <c r="FX450" s="2484"/>
      <c r="FY450" s="2484"/>
      <c r="FZ450" s="2484"/>
      <c r="GA450" s="2484"/>
      <c r="GB450" s="2484"/>
      <c r="GC450" s="2484"/>
      <c r="GD450" s="2484"/>
      <c r="GE450" s="2484"/>
      <c r="GF450" s="2484"/>
      <c r="GG450" s="2484"/>
      <c r="GH450" s="2484"/>
      <c r="GI450" s="2484"/>
      <c r="GJ450" s="2484"/>
      <c r="GK450" s="2484"/>
      <c r="GL450" s="2484"/>
      <c r="GM450" s="2484"/>
      <c r="GN450" s="2484"/>
      <c r="GO450" s="2484"/>
      <c r="GP450" s="2484"/>
      <c r="GQ450" s="2484"/>
      <c r="GR450" s="2484"/>
      <c r="GS450" s="2484"/>
      <c r="GT450" s="2484"/>
      <c r="GU450" s="2484"/>
      <c r="GV450" s="2484"/>
      <c r="GW450" s="2484"/>
      <c r="GX450" s="2484"/>
      <c r="GY450" s="2484"/>
      <c r="GZ450" s="2484"/>
      <c r="HA450" s="2484"/>
      <c r="HB450" s="2484"/>
      <c r="HC450" s="2484"/>
      <c r="HD450" s="2484"/>
      <c r="HE450" s="2484"/>
      <c r="HF450" s="2484"/>
      <c r="HG450" s="2484"/>
      <c r="HH450" s="2484"/>
      <c r="HI450" s="2484"/>
      <c r="HJ450" s="2484"/>
      <c r="HK450" s="2484"/>
      <c r="HL450" s="2484"/>
      <c r="HM450" s="2484"/>
      <c r="HN450" s="2484"/>
      <c r="HO450" s="2484"/>
      <c r="HP450" s="2484"/>
      <c r="HQ450" s="2484"/>
      <c r="HR450" s="2484"/>
    </row>
    <row r="451" spans="1:226" s="2485" customFormat="1" ht="15" hidden="1" customHeight="1">
      <c r="A451" s="3112"/>
      <c r="B451" s="3113"/>
      <c r="C451" s="3114"/>
      <c r="D451" s="3134"/>
      <c r="E451" s="2489"/>
      <c r="F451" s="2490">
        <f>SUM(G451:J451)</f>
        <v>0</v>
      </c>
      <c r="G451" s="2490"/>
      <c r="H451" s="2490"/>
      <c r="I451" s="2490"/>
      <c r="J451" s="2491"/>
      <c r="K451" s="2482"/>
    </row>
    <row r="452" spans="1:226" s="2485" customFormat="1" ht="15" hidden="1" customHeight="1">
      <c r="A452" s="3112"/>
      <c r="B452" s="3113"/>
      <c r="C452" s="3114"/>
      <c r="D452" s="3134"/>
      <c r="E452" s="2489"/>
      <c r="F452" s="2490">
        <f t="shared" ref="F452:F453" si="49">SUM(G452:J452)</f>
        <v>0</v>
      </c>
      <c r="G452" s="2490"/>
      <c r="H452" s="2490"/>
      <c r="I452" s="2490"/>
      <c r="J452" s="2491"/>
      <c r="K452" s="2482"/>
    </row>
    <row r="453" spans="1:226" s="2485" customFormat="1" ht="15" hidden="1" customHeight="1">
      <c r="A453" s="3112"/>
      <c r="B453" s="3113"/>
      <c r="C453" s="3114"/>
      <c r="D453" s="3134"/>
      <c r="E453" s="2489"/>
      <c r="F453" s="2490">
        <f t="shared" si="49"/>
        <v>0</v>
      </c>
      <c r="G453" s="2490"/>
      <c r="H453" s="2490"/>
      <c r="I453" s="2490"/>
      <c r="J453" s="2491"/>
      <c r="K453" s="2482"/>
    </row>
    <row r="454" spans="1:226" s="2485" customFormat="1" ht="15" customHeight="1">
      <c r="A454" s="3112"/>
      <c r="B454" s="3113"/>
      <c r="C454" s="3114"/>
      <c r="D454" s="3134"/>
      <c r="E454" s="2492" t="s">
        <v>1087</v>
      </c>
      <c r="F454" s="2487">
        <f>SUM(F455:F460)</f>
        <v>54192244</v>
      </c>
      <c r="G454" s="2487">
        <f>SUM(G455:G460)</f>
        <v>32162877</v>
      </c>
      <c r="H454" s="2487">
        <f>SUM(H455:H460)</f>
        <v>22029367</v>
      </c>
      <c r="I454" s="2487">
        <f>SUM(I455:I460)</f>
        <v>0</v>
      </c>
      <c r="J454" s="2488">
        <f>SUM(J455:J460)</f>
        <v>0</v>
      </c>
      <c r="K454" s="2482"/>
    </row>
    <row r="455" spans="1:226" s="2485" customFormat="1" ht="15" customHeight="1">
      <c r="A455" s="3112"/>
      <c r="B455" s="3113"/>
      <c r="C455" s="3114"/>
      <c r="D455" s="3134"/>
      <c r="E455" s="2489" t="s">
        <v>582</v>
      </c>
      <c r="F455" s="2490">
        <f>SUM(G455:J455)</f>
        <v>1963130</v>
      </c>
      <c r="G455" s="2490">
        <v>1963130</v>
      </c>
      <c r="H455" s="2490"/>
      <c r="I455" s="2490"/>
      <c r="J455" s="2491"/>
      <c r="K455" s="2482"/>
    </row>
    <row r="456" spans="1:226" s="2485" customFormat="1" ht="15" customHeight="1">
      <c r="A456" s="3112"/>
      <c r="B456" s="3113"/>
      <c r="C456" s="3114"/>
      <c r="D456" s="3134"/>
      <c r="E456" s="2489" t="s">
        <v>676</v>
      </c>
      <c r="F456" s="2490">
        <f t="shared" ref="F456:F458" si="50">SUM(G456:J456)</f>
        <v>4267676</v>
      </c>
      <c r="G456" s="2490"/>
      <c r="H456" s="2490">
        <v>4267676</v>
      </c>
      <c r="I456" s="2490"/>
      <c r="J456" s="2491"/>
      <c r="K456" s="2482"/>
    </row>
    <row r="457" spans="1:226" s="2485" customFormat="1" ht="15" customHeight="1">
      <c r="A457" s="3112"/>
      <c r="B457" s="3113"/>
      <c r="C457" s="3114"/>
      <c r="D457" s="3134"/>
      <c r="E457" s="2489" t="s">
        <v>677</v>
      </c>
      <c r="F457" s="2490">
        <f t="shared" si="50"/>
        <v>4267676</v>
      </c>
      <c r="G457" s="2490">
        <v>4267676</v>
      </c>
      <c r="H457" s="2490"/>
      <c r="I457" s="2490"/>
      <c r="J457" s="2491"/>
      <c r="K457" s="2482"/>
    </row>
    <row r="458" spans="1:226" s="2485" customFormat="1" ht="15" customHeight="1">
      <c r="A458" s="3112"/>
      <c r="B458" s="3113"/>
      <c r="C458" s="3114"/>
      <c r="D458" s="3134"/>
      <c r="E458" s="2489" t="s">
        <v>576</v>
      </c>
      <c r="F458" s="2490">
        <f t="shared" si="50"/>
        <v>8170380</v>
      </c>
      <c r="G458" s="2490">
        <v>8170380</v>
      </c>
      <c r="H458" s="2490"/>
      <c r="I458" s="2490"/>
      <c r="J458" s="2491"/>
      <c r="K458" s="2482"/>
    </row>
    <row r="459" spans="1:226" s="2485" customFormat="1" ht="15" customHeight="1">
      <c r="A459" s="3112"/>
      <c r="B459" s="3113"/>
      <c r="C459" s="3114"/>
      <c r="D459" s="3134"/>
      <c r="E459" s="2489" t="s">
        <v>655</v>
      </c>
      <c r="F459" s="2490">
        <f>SUM(G459:J459)</f>
        <v>17761691</v>
      </c>
      <c r="G459" s="2490"/>
      <c r="H459" s="2490">
        <v>17761691</v>
      </c>
      <c r="I459" s="2490"/>
      <c r="J459" s="2491"/>
      <c r="K459" s="2482"/>
    </row>
    <row r="460" spans="1:226" s="2485" customFormat="1" ht="15" customHeight="1">
      <c r="A460" s="3112"/>
      <c r="B460" s="3113"/>
      <c r="C460" s="3114"/>
      <c r="D460" s="3134"/>
      <c r="E460" s="2503">
        <v>6069</v>
      </c>
      <c r="F460" s="2490">
        <f>SUM(G460:J460)</f>
        <v>17761691</v>
      </c>
      <c r="G460" s="2490">
        <v>17761691</v>
      </c>
      <c r="H460" s="2490"/>
      <c r="I460" s="2490"/>
      <c r="J460" s="2491"/>
      <c r="K460" s="2482"/>
    </row>
    <row r="461" spans="1:226" s="2485" customFormat="1" ht="22.5">
      <c r="A461" s="3112" t="s">
        <v>1136</v>
      </c>
      <c r="B461" s="3113" t="s">
        <v>1137</v>
      </c>
      <c r="C461" s="3134" t="s">
        <v>162</v>
      </c>
      <c r="D461" s="3134" t="s">
        <v>725</v>
      </c>
      <c r="E461" s="2479" t="s">
        <v>1086</v>
      </c>
      <c r="F461" s="2480">
        <f>SUM(F462,F481)</f>
        <v>53554</v>
      </c>
      <c r="G461" s="2480">
        <f>SUM(G462,G481)</f>
        <v>53554</v>
      </c>
      <c r="H461" s="2480">
        <f>SUM(H462,H481)</f>
        <v>0</v>
      </c>
      <c r="I461" s="2480">
        <f>SUM(I462,I481)</f>
        <v>0</v>
      </c>
      <c r="J461" s="2481">
        <f>SUM(J462,J481)</f>
        <v>0</v>
      </c>
      <c r="K461" s="2482"/>
      <c r="L461" s="2484"/>
      <c r="M461" s="2484"/>
      <c r="N461" s="2484"/>
      <c r="O461" s="2484"/>
      <c r="P461" s="2484"/>
      <c r="Q461" s="2484"/>
      <c r="R461" s="2484"/>
      <c r="S461" s="2484"/>
      <c r="T461" s="2484"/>
      <c r="U461" s="2484"/>
      <c r="V461" s="2484"/>
      <c r="W461" s="2484"/>
      <c r="X461" s="2484"/>
      <c r="Y461" s="2484"/>
      <c r="Z461" s="2484"/>
      <c r="AA461" s="2484"/>
      <c r="AB461" s="2484"/>
      <c r="AC461" s="2484"/>
      <c r="AD461" s="2484"/>
      <c r="AE461" s="2484"/>
      <c r="AF461" s="2484"/>
      <c r="AG461" s="2484"/>
      <c r="AH461" s="2484"/>
      <c r="AI461" s="2484"/>
      <c r="AJ461" s="2484"/>
      <c r="AK461" s="2484"/>
      <c r="AL461" s="2484"/>
      <c r="AM461" s="2484"/>
      <c r="AN461" s="2484"/>
      <c r="AO461" s="2484"/>
      <c r="AP461" s="2484"/>
      <c r="AQ461" s="2484"/>
      <c r="AR461" s="2484"/>
      <c r="AS461" s="2484"/>
      <c r="AT461" s="2484"/>
      <c r="AU461" s="2484"/>
      <c r="AV461" s="2484"/>
      <c r="AW461" s="2484"/>
      <c r="AX461" s="2484"/>
      <c r="AY461" s="2484"/>
      <c r="AZ461" s="2484"/>
      <c r="BA461" s="2484"/>
      <c r="BB461" s="2484"/>
      <c r="BC461" s="2484"/>
      <c r="BD461" s="2484"/>
      <c r="BE461" s="2484"/>
      <c r="BF461" s="2484"/>
      <c r="BG461" s="2484"/>
      <c r="BH461" s="2484"/>
      <c r="BI461" s="2484"/>
      <c r="BJ461" s="2484"/>
      <c r="BK461" s="2484"/>
      <c r="BL461" s="2484"/>
      <c r="BM461" s="2484"/>
      <c r="BN461" s="2484"/>
      <c r="BO461" s="2484"/>
      <c r="BP461" s="2484"/>
      <c r="BQ461" s="2484"/>
      <c r="BR461" s="2484"/>
      <c r="BS461" s="2484"/>
      <c r="BT461" s="2484"/>
      <c r="BU461" s="2484"/>
      <c r="BV461" s="2484"/>
      <c r="BW461" s="2484"/>
      <c r="BX461" s="2484"/>
      <c r="BY461" s="2484"/>
      <c r="BZ461" s="2484"/>
      <c r="CA461" s="2484"/>
      <c r="CB461" s="2484"/>
      <c r="CC461" s="2484"/>
      <c r="CD461" s="2484"/>
      <c r="CE461" s="2484"/>
      <c r="CF461" s="2484"/>
      <c r="CG461" s="2484"/>
      <c r="CH461" s="2484"/>
      <c r="CI461" s="2484"/>
      <c r="CJ461" s="2484"/>
      <c r="CK461" s="2484"/>
      <c r="CL461" s="2484"/>
      <c r="CM461" s="2484"/>
      <c r="CN461" s="2484"/>
      <c r="CO461" s="2484"/>
      <c r="CP461" s="2484"/>
      <c r="CQ461" s="2484"/>
      <c r="CR461" s="2484"/>
      <c r="CS461" s="2484"/>
      <c r="CT461" s="2484"/>
      <c r="CU461" s="2484"/>
      <c r="CV461" s="2484"/>
      <c r="CW461" s="2484"/>
      <c r="CX461" s="2484"/>
      <c r="CY461" s="2484"/>
      <c r="CZ461" s="2484"/>
      <c r="DA461" s="2484"/>
      <c r="DB461" s="2484"/>
      <c r="DC461" s="2484"/>
      <c r="DD461" s="2484"/>
      <c r="DE461" s="2484"/>
      <c r="DF461" s="2484"/>
      <c r="DG461" s="2484"/>
      <c r="DH461" s="2484"/>
      <c r="DI461" s="2484"/>
      <c r="DJ461" s="2484"/>
      <c r="DK461" s="2484"/>
      <c r="DL461" s="2484"/>
      <c r="DM461" s="2484"/>
      <c r="DN461" s="2484"/>
      <c r="DO461" s="2484"/>
      <c r="DP461" s="2484"/>
      <c r="DQ461" s="2484"/>
      <c r="DR461" s="2484"/>
      <c r="DS461" s="2484"/>
      <c r="DT461" s="2484"/>
      <c r="DU461" s="2484"/>
      <c r="DV461" s="2484"/>
      <c r="DW461" s="2484"/>
      <c r="DX461" s="2484"/>
      <c r="DY461" s="2484"/>
      <c r="DZ461" s="2484"/>
      <c r="EA461" s="2484"/>
      <c r="EB461" s="2484"/>
      <c r="EC461" s="2484"/>
      <c r="ED461" s="2484"/>
      <c r="EE461" s="2484"/>
      <c r="EF461" s="2484"/>
      <c r="EG461" s="2484"/>
      <c r="EH461" s="2484"/>
      <c r="EI461" s="2484"/>
      <c r="EJ461" s="2484"/>
      <c r="EK461" s="2484"/>
      <c r="EL461" s="2484"/>
      <c r="EM461" s="2484"/>
      <c r="EN461" s="2484"/>
      <c r="EO461" s="2484"/>
      <c r="EP461" s="2484"/>
      <c r="EQ461" s="2484"/>
      <c r="ER461" s="2484"/>
      <c r="ES461" s="2484"/>
      <c r="ET461" s="2484"/>
      <c r="EU461" s="2484"/>
      <c r="EV461" s="2484"/>
      <c r="EW461" s="2484"/>
      <c r="EX461" s="2484"/>
      <c r="EY461" s="2484"/>
      <c r="EZ461" s="2484"/>
      <c r="FA461" s="2484"/>
      <c r="FB461" s="2484"/>
      <c r="FC461" s="2484"/>
      <c r="FD461" s="2484"/>
      <c r="FE461" s="2484"/>
      <c r="FF461" s="2484"/>
      <c r="FG461" s="2484"/>
      <c r="FH461" s="2484"/>
      <c r="FI461" s="2484"/>
      <c r="FJ461" s="2484"/>
      <c r="FK461" s="2484"/>
      <c r="FL461" s="2484"/>
      <c r="FM461" s="2484"/>
      <c r="FN461" s="2484"/>
      <c r="FO461" s="2484"/>
      <c r="FP461" s="2484"/>
      <c r="FQ461" s="2484"/>
      <c r="FR461" s="2484"/>
      <c r="FS461" s="2484"/>
      <c r="FT461" s="2484"/>
      <c r="FU461" s="2484"/>
      <c r="FV461" s="2484"/>
      <c r="FW461" s="2484"/>
      <c r="FX461" s="2484"/>
      <c r="FY461" s="2484"/>
      <c r="FZ461" s="2484"/>
      <c r="GA461" s="2484"/>
      <c r="GB461" s="2484"/>
      <c r="GC461" s="2484"/>
      <c r="GD461" s="2484"/>
      <c r="GE461" s="2484"/>
      <c r="GF461" s="2484"/>
      <c r="GG461" s="2484"/>
      <c r="GH461" s="2484"/>
      <c r="GI461" s="2484"/>
      <c r="GJ461" s="2484"/>
      <c r="GK461" s="2484"/>
      <c r="GL461" s="2484"/>
      <c r="GM461" s="2484"/>
      <c r="GN461" s="2484"/>
      <c r="GO461" s="2484"/>
      <c r="GP461" s="2484"/>
      <c r="GQ461" s="2484"/>
      <c r="GR461" s="2484"/>
      <c r="GS461" s="2484"/>
      <c r="GT461" s="2484"/>
      <c r="GU461" s="2484"/>
      <c r="GV461" s="2484"/>
      <c r="GW461" s="2484"/>
      <c r="GX461" s="2484"/>
      <c r="GY461" s="2484"/>
      <c r="GZ461" s="2484"/>
      <c r="HA461" s="2484"/>
      <c r="HB461" s="2484"/>
      <c r="HC461" s="2484"/>
      <c r="HD461" s="2484"/>
      <c r="HE461" s="2484"/>
      <c r="HF461" s="2484"/>
      <c r="HG461" s="2484"/>
      <c r="HH461" s="2484"/>
      <c r="HI461" s="2484"/>
      <c r="HJ461" s="2484"/>
      <c r="HK461" s="2484"/>
      <c r="HL461" s="2484"/>
      <c r="HM461" s="2484"/>
      <c r="HN461" s="2484"/>
      <c r="HO461" s="2484"/>
      <c r="HP461" s="2484"/>
      <c r="HQ461" s="2484"/>
      <c r="HR461" s="2484"/>
    </row>
    <row r="462" spans="1:226" s="2485" customFormat="1" ht="21">
      <c r="A462" s="3112"/>
      <c r="B462" s="3113"/>
      <c r="C462" s="3134"/>
      <c r="D462" s="3134"/>
      <c r="E462" s="2486" t="s">
        <v>1092</v>
      </c>
      <c r="F462" s="2487">
        <f>SUM(F463,F474)</f>
        <v>53554</v>
      </c>
      <c r="G462" s="2487">
        <f>SUM(G463,G474)</f>
        <v>53554</v>
      </c>
      <c r="H462" s="2487">
        <f>SUM(H463,H474)</f>
        <v>0</v>
      </c>
      <c r="I462" s="2487">
        <f>SUM(I463,I474)</f>
        <v>0</v>
      </c>
      <c r="J462" s="2488">
        <f>SUM(J463,J474)</f>
        <v>0</v>
      </c>
      <c r="K462" s="2482"/>
    </row>
    <row r="463" spans="1:226" s="2485" customFormat="1" ht="22.5">
      <c r="A463" s="3112"/>
      <c r="B463" s="3113"/>
      <c r="C463" s="3134"/>
      <c r="D463" s="3134"/>
      <c r="E463" s="2497" t="s">
        <v>1093</v>
      </c>
      <c r="F463" s="2498">
        <f>SUM(F464:F473)</f>
        <v>48554</v>
      </c>
      <c r="G463" s="2498">
        <f>SUM(G464:G473)</f>
        <v>48554</v>
      </c>
      <c r="H463" s="2498">
        <f>SUM(H464:H473)</f>
        <v>0</v>
      </c>
      <c r="I463" s="2498">
        <f>SUM(I464:I473)</f>
        <v>0</v>
      </c>
      <c r="J463" s="2499">
        <f>SUM(J464:J473)</f>
        <v>0</v>
      </c>
      <c r="K463" s="2482"/>
    </row>
    <row r="464" spans="1:226" s="2485" customFormat="1" ht="15" customHeight="1">
      <c r="A464" s="3112"/>
      <c r="B464" s="3113"/>
      <c r="C464" s="3134"/>
      <c r="D464" s="3134"/>
      <c r="E464" s="2489" t="s">
        <v>591</v>
      </c>
      <c r="F464" s="2490">
        <f t="shared" ref="F464:F473" si="51">SUM(G464:J464)</f>
        <v>31296</v>
      </c>
      <c r="G464" s="2490">
        <v>31296</v>
      </c>
      <c r="H464" s="2490"/>
      <c r="I464" s="2490"/>
      <c r="J464" s="2491"/>
      <c r="K464" s="2495"/>
    </row>
    <row r="465" spans="1:11" s="2485" customFormat="1" ht="15" customHeight="1">
      <c r="A465" s="3112"/>
      <c r="B465" s="3113"/>
      <c r="C465" s="3134"/>
      <c r="D465" s="3134"/>
      <c r="E465" s="2489" t="s">
        <v>592</v>
      </c>
      <c r="F465" s="2490">
        <f t="shared" si="51"/>
        <v>5523</v>
      </c>
      <c r="G465" s="2490">
        <v>5523</v>
      </c>
      <c r="H465" s="2490"/>
      <c r="I465" s="2490"/>
      <c r="J465" s="2491"/>
      <c r="K465" s="2495"/>
    </row>
    <row r="466" spans="1:11" s="2485" customFormat="1" ht="15" customHeight="1">
      <c r="A466" s="3112"/>
      <c r="B466" s="3113"/>
      <c r="C466" s="3134"/>
      <c r="D466" s="3134"/>
      <c r="E466" s="2489" t="s">
        <v>593</v>
      </c>
      <c r="F466" s="2490">
        <f t="shared" si="51"/>
        <v>3145</v>
      </c>
      <c r="G466" s="2490">
        <v>3145</v>
      </c>
      <c r="H466" s="2490"/>
      <c r="I466" s="2490"/>
      <c r="J466" s="2491"/>
      <c r="K466" s="2495"/>
    </row>
    <row r="467" spans="1:11" s="2485" customFormat="1" ht="15" customHeight="1">
      <c r="A467" s="3112"/>
      <c r="B467" s="3113"/>
      <c r="C467" s="3134"/>
      <c r="D467" s="3134"/>
      <c r="E467" s="2489" t="s">
        <v>594</v>
      </c>
      <c r="F467" s="2490">
        <f t="shared" si="51"/>
        <v>555</v>
      </c>
      <c r="G467" s="2490">
        <v>555</v>
      </c>
      <c r="H467" s="2490"/>
      <c r="I467" s="2490"/>
      <c r="J467" s="2491"/>
      <c r="K467" s="2482"/>
    </row>
    <row r="468" spans="1:11" s="2485" customFormat="1" ht="15" customHeight="1">
      <c r="A468" s="3112"/>
      <c r="B468" s="3113"/>
      <c r="C468" s="3134"/>
      <c r="D468" s="3134"/>
      <c r="E468" s="2489" t="s">
        <v>595</v>
      </c>
      <c r="F468" s="2490">
        <f t="shared" si="51"/>
        <v>5986</v>
      </c>
      <c r="G468" s="2490">
        <v>5986</v>
      </c>
      <c r="H468" s="2490"/>
      <c r="I468" s="2490"/>
      <c r="J468" s="2491"/>
      <c r="K468" s="2482"/>
    </row>
    <row r="469" spans="1:11" s="2485" customFormat="1" ht="15" customHeight="1">
      <c r="A469" s="3112"/>
      <c r="B469" s="3113"/>
      <c r="C469" s="3134"/>
      <c r="D469" s="3134"/>
      <c r="E469" s="2489" t="s">
        <v>596</v>
      </c>
      <c r="F469" s="2490">
        <f t="shared" si="51"/>
        <v>1056</v>
      </c>
      <c r="G469" s="2490">
        <v>1056</v>
      </c>
      <c r="H469" s="2490"/>
      <c r="I469" s="2490"/>
      <c r="J469" s="2491"/>
      <c r="K469" s="2482"/>
    </row>
    <row r="470" spans="1:11" s="2485" customFormat="1" ht="15" customHeight="1">
      <c r="A470" s="3112"/>
      <c r="B470" s="3113"/>
      <c r="C470" s="3134"/>
      <c r="D470" s="3134"/>
      <c r="E470" s="2489" t="s">
        <v>597</v>
      </c>
      <c r="F470" s="2490">
        <f t="shared" si="51"/>
        <v>844</v>
      </c>
      <c r="G470" s="2490">
        <v>844</v>
      </c>
      <c r="H470" s="2490"/>
      <c r="I470" s="2490"/>
      <c r="J470" s="2491"/>
      <c r="K470" s="2482"/>
    </row>
    <row r="471" spans="1:11" s="2485" customFormat="1" ht="15" customHeight="1">
      <c r="A471" s="3112"/>
      <c r="B471" s="3113"/>
      <c r="C471" s="3134"/>
      <c r="D471" s="3134"/>
      <c r="E471" s="2489" t="s">
        <v>598</v>
      </c>
      <c r="F471" s="2490">
        <f t="shared" si="51"/>
        <v>149</v>
      </c>
      <c r="G471" s="2490">
        <v>149</v>
      </c>
      <c r="H471" s="2490"/>
      <c r="I471" s="2490"/>
      <c r="J471" s="2491"/>
      <c r="K471" s="2482"/>
    </row>
    <row r="472" spans="1:11" s="2485" customFormat="1" ht="15" hidden="1" customHeight="1">
      <c r="A472" s="3112"/>
      <c r="B472" s="3113"/>
      <c r="C472" s="3134"/>
      <c r="D472" s="3134"/>
      <c r="E472" s="2489" t="s">
        <v>599</v>
      </c>
      <c r="F472" s="2490">
        <f t="shared" si="51"/>
        <v>0</v>
      </c>
      <c r="G472" s="2490"/>
      <c r="H472" s="2490"/>
      <c r="I472" s="2490"/>
      <c r="J472" s="2491"/>
      <c r="K472" s="2482"/>
    </row>
    <row r="473" spans="1:11" s="2485" customFormat="1" ht="15" hidden="1" customHeight="1">
      <c r="A473" s="3112"/>
      <c r="B473" s="3113"/>
      <c r="C473" s="3134"/>
      <c r="D473" s="3134"/>
      <c r="E473" s="2489" t="s">
        <v>600</v>
      </c>
      <c r="F473" s="2490">
        <f t="shared" si="51"/>
        <v>0</v>
      </c>
      <c r="G473" s="2490"/>
      <c r="H473" s="2490"/>
      <c r="I473" s="2490"/>
      <c r="J473" s="2491"/>
      <c r="K473" s="2482"/>
    </row>
    <row r="474" spans="1:11" s="2485" customFormat="1" ht="22.5">
      <c r="A474" s="3112"/>
      <c r="B474" s="3113"/>
      <c r="C474" s="3134"/>
      <c r="D474" s="3134"/>
      <c r="E474" s="2497" t="s">
        <v>1094</v>
      </c>
      <c r="F474" s="2498">
        <f>SUM(F475:F480)</f>
        <v>5000</v>
      </c>
      <c r="G474" s="2498">
        <f>SUM(G475:G480)</f>
        <v>5000</v>
      </c>
      <c r="H474" s="2498">
        <f>SUM(H475:H480)</f>
        <v>0</v>
      </c>
      <c r="I474" s="2498">
        <f>SUM(I475:I480)</f>
        <v>0</v>
      </c>
      <c r="J474" s="2499">
        <f>SUM(J475:J480)</f>
        <v>0</v>
      </c>
      <c r="K474" s="2482"/>
    </row>
    <row r="475" spans="1:11" s="2485" customFormat="1" ht="15" hidden="1" customHeight="1">
      <c r="A475" s="3112"/>
      <c r="B475" s="3113"/>
      <c r="C475" s="3134"/>
      <c r="D475" s="3134"/>
      <c r="E475" s="2489" t="s">
        <v>604</v>
      </c>
      <c r="F475" s="2490">
        <f t="shared" ref="F475:F480" si="52">SUM(G475:J475)</f>
        <v>0</v>
      </c>
      <c r="G475" s="2490"/>
      <c r="H475" s="2490"/>
      <c r="I475" s="2490"/>
      <c r="J475" s="2491"/>
      <c r="K475" s="2482"/>
    </row>
    <row r="476" spans="1:11" s="2485" customFormat="1" ht="15" hidden="1" customHeight="1">
      <c r="A476" s="3112"/>
      <c r="B476" s="3113"/>
      <c r="C476" s="3134"/>
      <c r="D476" s="3134"/>
      <c r="E476" s="2489" t="s">
        <v>605</v>
      </c>
      <c r="F476" s="2490">
        <f t="shared" si="52"/>
        <v>0</v>
      </c>
      <c r="G476" s="2490"/>
      <c r="H476" s="2490"/>
      <c r="I476" s="2490"/>
      <c r="J476" s="2491"/>
      <c r="K476" s="2482"/>
    </row>
    <row r="477" spans="1:11" s="2485" customFormat="1" ht="15" customHeight="1">
      <c r="A477" s="3112"/>
      <c r="B477" s="3113"/>
      <c r="C477" s="3134"/>
      <c r="D477" s="3134"/>
      <c r="E477" s="2489" t="s">
        <v>608</v>
      </c>
      <c r="F477" s="2490">
        <f t="shared" si="52"/>
        <v>4250</v>
      </c>
      <c r="G477" s="2490">
        <v>4250</v>
      </c>
      <c r="H477" s="2490"/>
      <c r="I477" s="2490"/>
      <c r="J477" s="2491"/>
      <c r="K477" s="2482"/>
    </row>
    <row r="478" spans="1:11" s="2485" customFormat="1" ht="15" customHeight="1">
      <c r="A478" s="3112"/>
      <c r="B478" s="3113"/>
      <c r="C478" s="3134"/>
      <c r="D478" s="3134"/>
      <c r="E478" s="2489" t="s">
        <v>609</v>
      </c>
      <c r="F478" s="2490">
        <f t="shared" si="52"/>
        <v>750</v>
      </c>
      <c r="G478" s="2490">
        <v>750</v>
      </c>
      <c r="H478" s="2490"/>
      <c r="I478" s="2490"/>
      <c r="J478" s="2491"/>
      <c r="K478" s="2482"/>
    </row>
    <row r="479" spans="1:11" s="2485" customFormat="1" ht="15" hidden="1" customHeight="1">
      <c r="A479" s="3112"/>
      <c r="B479" s="3113"/>
      <c r="C479" s="3134"/>
      <c r="D479" s="3134"/>
      <c r="E479" s="2489" t="s">
        <v>702</v>
      </c>
      <c r="F479" s="2490">
        <f t="shared" si="52"/>
        <v>0</v>
      </c>
      <c r="G479" s="2490"/>
      <c r="H479" s="2490"/>
      <c r="I479" s="2490"/>
      <c r="J479" s="2491"/>
      <c r="K479" s="2482"/>
    </row>
    <row r="480" spans="1:11" s="2485" customFormat="1" ht="15" hidden="1" customHeight="1">
      <c r="A480" s="3112"/>
      <c r="B480" s="3113"/>
      <c r="C480" s="3134"/>
      <c r="D480" s="3134"/>
      <c r="E480" s="2489" t="s">
        <v>703</v>
      </c>
      <c r="F480" s="2490">
        <f t="shared" si="52"/>
        <v>0</v>
      </c>
      <c r="G480" s="2490"/>
      <c r="H480" s="2490"/>
      <c r="I480" s="2490"/>
      <c r="J480" s="2491"/>
      <c r="K480" s="2482"/>
    </row>
    <row r="481" spans="1:226" s="2485" customFormat="1" ht="15" customHeight="1">
      <c r="A481" s="3112"/>
      <c r="B481" s="3113"/>
      <c r="C481" s="3134"/>
      <c r="D481" s="3134"/>
      <c r="E481" s="2492" t="s">
        <v>1087</v>
      </c>
      <c r="F481" s="2487">
        <f>SUM(F482:F483)</f>
        <v>0</v>
      </c>
      <c r="G481" s="2487">
        <f>SUM(G482:G483)</f>
        <v>0</v>
      </c>
      <c r="H481" s="2487">
        <f>SUM(H482:H483)</f>
        <v>0</v>
      </c>
      <c r="I481" s="2487">
        <f>SUM(I482:I483)</f>
        <v>0</v>
      </c>
      <c r="J481" s="2488">
        <f>SUM(J482:J483)</f>
        <v>0</v>
      </c>
      <c r="K481" s="2482"/>
    </row>
    <row r="482" spans="1:226" s="2485" customFormat="1" ht="15" hidden="1" customHeight="1">
      <c r="A482" s="2504"/>
      <c r="B482" s="2505"/>
      <c r="C482" s="2507"/>
      <c r="D482" s="2507"/>
      <c r="E482" s="2508" t="s">
        <v>691</v>
      </c>
      <c r="F482" s="2509">
        <f>SUM(G482:J482)</f>
        <v>0</v>
      </c>
      <c r="G482" s="2509"/>
      <c r="H482" s="2509"/>
      <c r="I482" s="2509"/>
      <c r="J482" s="2510"/>
      <c r="K482" s="2482"/>
    </row>
    <row r="483" spans="1:226" s="2485" customFormat="1" ht="15" hidden="1" customHeight="1">
      <c r="A483" s="2504"/>
      <c r="B483" s="2505"/>
      <c r="C483" s="2507"/>
      <c r="D483" s="2507"/>
      <c r="E483" s="2522">
        <v>6069</v>
      </c>
      <c r="F483" s="2509">
        <f>SUM(G483:J483)</f>
        <v>0</v>
      </c>
      <c r="G483" s="2509"/>
      <c r="H483" s="2509"/>
      <c r="I483" s="2509"/>
      <c r="J483" s="2510"/>
      <c r="K483" s="2482"/>
    </row>
    <row r="484" spans="1:226" s="2485" customFormat="1" ht="22.5">
      <c r="A484" s="3112" t="s">
        <v>1138</v>
      </c>
      <c r="B484" s="3113" t="s">
        <v>1139</v>
      </c>
      <c r="C484" s="3134" t="s">
        <v>162</v>
      </c>
      <c r="D484" s="3134" t="s">
        <v>725</v>
      </c>
      <c r="E484" s="2479" t="s">
        <v>1086</v>
      </c>
      <c r="F484" s="2480">
        <f>SUM(F485,F506)</f>
        <v>165302</v>
      </c>
      <c r="G484" s="2480">
        <f>SUM(G485,G506)</f>
        <v>165302</v>
      </c>
      <c r="H484" s="2480">
        <f>SUM(H485,H506)</f>
        <v>0</v>
      </c>
      <c r="I484" s="2480">
        <f>SUM(I485,I506)</f>
        <v>0</v>
      </c>
      <c r="J484" s="2481">
        <f>SUM(J485,J506)</f>
        <v>0</v>
      </c>
      <c r="K484" s="2482"/>
      <c r="L484" s="2484"/>
      <c r="M484" s="2484"/>
      <c r="N484" s="2484"/>
      <c r="O484" s="2484"/>
      <c r="P484" s="2484"/>
      <c r="Q484" s="2484"/>
      <c r="R484" s="2484"/>
      <c r="S484" s="2484"/>
      <c r="T484" s="2484"/>
      <c r="U484" s="2484"/>
      <c r="V484" s="2484"/>
      <c r="W484" s="2484"/>
      <c r="X484" s="2484"/>
      <c r="Y484" s="2484"/>
      <c r="Z484" s="2484"/>
      <c r="AA484" s="2484"/>
      <c r="AB484" s="2484"/>
      <c r="AC484" s="2484"/>
      <c r="AD484" s="2484"/>
      <c r="AE484" s="2484"/>
      <c r="AF484" s="2484"/>
      <c r="AG484" s="2484"/>
      <c r="AH484" s="2484"/>
      <c r="AI484" s="2484"/>
      <c r="AJ484" s="2484"/>
      <c r="AK484" s="2484"/>
      <c r="AL484" s="2484"/>
      <c r="AM484" s="2484"/>
      <c r="AN484" s="2484"/>
      <c r="AO484" s="2484"/>
      <c r="AP484" s="2484"/>
      <c r="AQ484" s="2484"/>
      <c r="AR484" s="2484"/>
      <c r="AS484" s="2484"/>
      <c r="AT484" s="2484"/>
      <c r="AU484" s="2484"/>
      <c r="AV484" s="2484"/>
      <c r="AW484" s="2484"/>
      <c r="AX484" s="2484"/>
      <c r="AY484" s="2484"/>
      <c r="AZ484" s="2484"/>
      <c r="BA484" s="2484"/>
      <c r="BB484" s="2484"/>
      <c r="BC484" s="2484"/>
      <c r="BD484" s="2484"/>
      <c r="BE484" s="2484"/>
      <c r="BF484" s="2484"/>
      <c r="BG484" s="2484"/>
      <c r="BH484" s="2484"/>
      <c r="BI484" s="2484"/>
      <c r="BJ484" s="2484"/>
      <c r="BK484" s="2484"/>
      <c r="BL484" s="2484"/>
      <c r="BM484" s="2484"/>
      <c r="BN484" s="2484"/>
      <c r="BO484" s="2484"/>
      <c r="BP484" s="2484"/>
      <c r="BQ484" s="2484"/>
      <c r="BR484" s="2484"/>
      <c r="BS484" s="2484"/>
      <c r="BT484" s="2484"/>
      <c r="BU484" s="2484"/>
      <c r="BV484" s="2484"/>
      <c r="BW484" s="2484"/>
      <c r="BX484" s="2484"/>
      <c r="BY484" s="2484"/>
      <c r="BZ484" s="2484"/>
      <c r="CA484" s="2484"/>
      <c r="CB484" s="2484"/>
      <c r="CC484" s="2484"/>
      <c r="CD484" s="2484"/>
      <c r="CE484" s="2484"/>
      <c r="CF484" s="2484"/>
      <c r="CG484" s="2484"/>
      <c r="CH484" s="2484"/>
      <c r="CI484" s="2484"/>
      <c r="CJ484" s="2484"/>
      <c r="CK484" s="2484"/>
      <c r="CL484" s="2484"/>
      <c r="CM484" s="2484"/>
      <c r="CN484" s="2484"/>
      <c r="CO484" s="2484"/>
      <c r="CP484" s="2484"/>
      <c r="CQ484" s="2484"/>
      <c r="CR484" s="2484"/>
      <c r="CS484" s="2484"/>
      <c r="CT484" s="2484"/>
      <c r="CU484" s="2484"/>
      <c r="CV484" s="2484"/>
      <c r="CW484" s="2484"/>
      <c r="CX484" s="2484"/>
      <c r="CY484" s="2484"/>
      <c r="CZ484" s="2484"/>
      <c r="DA484" s="2484"/>
      <c r="DB484" s="2484"/>
      <c r="DC484" s="2484"/>
      <c r="DD484" s="2484"/>
      <c r="DE484" s="2484"/>
      <c r="DF484" s="2484"/>
      <c r="DG484" s="2484"/>
      <c r="DH484" s="2484"/>
      <c r="DI484" s="2484"/>
      <c r="DJ484" s="2484"/>
      <c r="DK484" s="2484"/>
      <c r="DL484" s="2484"/>
      <c r="DM484" s="2484"/>
      <c r="DN484" s="2484"/>
      <c r="DO484" s="2484"/>
      <c r="DP484" s="2484"/>
      <c r="DQ484" s="2484"/>
      <c r="DR484" s="2484"/>
      <c r="DS484" s="2484"/>
      <c r="DT484" s="2484"/>
      <c r="DU484" s="2484"/>
      <c r="DV484" s="2484"/>
      <c r="DW484" s="2484"/>
      <c r="DX484" s="2484"/>
      <c r="DY484" s="2484"/>
      <c r="DZ484" s="2484"/>
      <c r="EA484" s="2484"/>
      <c r="EB484" s="2484"/>
      <c r="EC484" s="2484"/>
      <c r="ED484" s="2484"/>
      <c r="EE484" s="2484"/>
      <c r="EF484" s="2484"/>
      <c r="EG484" s="2484"/>
      <c r="EH484" s="2484"/>
      <c r="EI484" s="2484"/>
      <c r="EJ484" s="2484"/>
      <c r="EK484" s="2484"/>
      <c r="EL484" s="2484"/>
      <c r="EM484" s="2484"/>
      <c r="EN484" s="2484"/>
      <c r="EO484" s="2484"/>
      <c r="EP484" s="2484"/>
      <c r="EQ484" s="2484"/>
      <c r="ER484" s="2484"/>
      <c r="ES484" s="2484"/>
      <c r="ET484" s="2484"/>
      <c r="EU484" s="2484"/>
      <c r="EV484" s="2484"/>
      <c r="EW484" s="2484"/>
      <c r="EX484" s="2484"/>
      <c r="EY484" s="2484"/>
      <c r="EZ484" s="2484"/>
      <c r="FA484" s="2484"/>
      <c r="FB484" s="2484"/>
      <c r="FC484" s="2484"/>
      <c r="FD484" s="2484"/>
      <c r="FE484" s="2484"/>
      <c r="FF484" s="2484"/>
      <c r="FG484" s="2484"/>
      <c r="FH484" s="2484"/>
      <c r="FI484" s="2484"/>
      <c r="FJ484" s="2484"/>
      <c r="FK484" s="2484"/>
      <c r="FL484" s="2484"/>
      <c r="FM484" s="2484"/>
      <c r="FN484" s="2484"/>
      <c r="FO484" s="2484"/>
      <c r="FP484" s="2484"/>
      <c r="FQ484" s="2484"/>
      <c r="FR484" s="2484"/>
      <c r="FS484" s="2484"/>
      <c r="FT484" s="2484"/>
      <c r="FU484" s="2484"/>
      <c r="FV484" s="2484"/>
      <c r="FW484" s="2484"/>
      <c r="FX484" s="2484"/>
      <c r="FY484" s="2484"/>
      <c r="FZ484" s="2484"/>
      <c r="GA484" s="2484"/>
      <c r="GB484" s="2484"/>
      <c r="GC484" s="2484"/>
      <c r="GD484" s="2484"/>
      <c r="GE484" s="2484"/>
      <c r="GF484" s="2484"/>
      <c r="GG484" s="2484"/>
      <c r="GH484" s="2484"/>
      <c r="GI484" s="2484"/>
      <c r="GJ484" s="2484"/>
      <c r="GK484" s="2484"/>
      <c r="GL484" s="2484"/>
      <c r="GM484" s="2484"/>
      <c r="GN484" s="2484"/>
      <c r="GO484" s="2484"/>
      <c r="GP484" s="2484"/>
      <c r="GQ484" s="2484"/>
      <c r="GR484" s="2484"/>
      <c r="GS484" s="2484"/>
      <c r="GT484" s="2484"/>
      <c r="GU484" s="2484"/>
      <c r="GV484" s="2484"/>
      <c r="GW484" s="2484"/>
      <c r="GX484" s="2484"/>
      <c r="GY484" s="2484"/>
      <c r="GZ484" s="2484"/>
      <c r="HA484" s="2484"/>
      <c r="HB484" s="2484"/>
      <c r="HC484" s="2484"/>
      <c r="HD484" s="2484"/>
      <c r="HE484" s="2484"/>
      <c r="HF484" s="2484"/>
      <c r="HG484" s="2484"/>
      <c r="HH484" s="2484"/>
      <c r="HI484" s="2484"/>
      <c r="HJ484" s="2484"/>
      <c r="HK484" s="2484"/>
      <c r="HL484" s="2484"/>
      <c r="HM484" s="2484"/>
      <c r="HN484" s="2484"/>
      <c r="HO484" s="2484"/>
      <c r="HP484" s="2484"/>
      <c r="HQ484" s="2484"/>
      <c r="HR484" s="2484"/>
    </row>
    <row r="485" spans="1:226" s="2485" customFormat="1" ht="21">
      <c r="A485" s="3112"/>
      <c r="B485" s="3113"/>
      <c r="C485" s="3134"/>
      <c r="D485" s="3134"/>
      <c r="E485" s="2486" t="s">
        <v>1092</v>
      </c>
      <c r="F485" s="2487">
        <f>SUM(F486,F497)</f>
        <v>165302</v>
      </c>
      <c r="G485" s="2487">
        <f>SUM(G486,G497)</f>
        <v>165302</v>
      </c>
      <c r="H485" s="2487">
        <f>SUM(H486,H497)</f>
        <v>0</v>
      </c>
      <c r="I485" s="2487">
        <f>SUM(I486,I497)</f>
        <v>0</v>
      </c>
      <c r="J485" s="2488">
        <f>SUM(J486,J497)</f>
        <v>0</v>
      </c>
      <c r="K485" s="2482"/>
    </row>
    <row r="486" spans="1:226" s="2485" customFormat="1" ht="22.5">
      <c r="A486" s="3112"/>
      <c r="B486" s="3113"/>
      <c r="C486" s="3134"/>
      <c r="D486" s="3134"/>
      <c r="E486" s="2497" t="s">
        <v>1093</v>
      </c>
      <c r="F486" s="2498">
        <f>SUM(F487:F496)</f>
        <v>74002</v>
      </c>
      <c r="G486" s="2498">
        <f>SUM(G487:G496)</f>
        <v>74002</v>
      </c>
      <c r="H486" s="2498">
        <f>SUM(H487:H496)</f>
        <v>0</v>
      </c>
      <c r="I486" s="2498">
        <f>SUM(I487:I496)</f>
        <v>0</v>
      </c>
      <c r="J486" s="2499">
        <f>SUM(J487:J496)</f>
        <v>0</v>
      </c>
      <c r="K486" s="2482"/>
    </row>
    <row r="487" spans="1:226" s="2485" customFormat="1" ht="15" customHeight="1">
      <c r="A487" s="3112"/>
      <c r="B487" s="3113"/>
      <c r="C487" s="3134"/>
      <c r="D487" s="3134"/>
      <c r="E487" s="2489" t="s">
        <v>591</v>
      </c>
      <c r="F487" s="2490">
        <f t="shared" ref="F487:F496" si="53">SUM(G487:J487)</f>
        <v>51072</v>
      </c>
      <c r="G487" s="2490">
        <v>51072</v>
      </c>
      <c r="H487" s="2490"/>
      <c r="I487" s="2490"/>
      <c r="J487" s="2491"/>
      <c r="K487" s="2495"/>
    </row>
    <row r="488" spans="1:226" s="2485" customFormat="1" ht="15" customHeight="1">
      <c r="A488" s="3112"/>
      <c r="B488" s="3113"/>
      <c r="C488" s="3134"/>
      <c r="D488" s="3134"/>
      <c r="E488" s="2489" t="s">
        <v>592</v>
      </c>
      <c r="F488" s="2490">
        <f t="shared" si="53"/>
        <v>9013</v>
      </c>
      <c r="G488" s="2490">
        <v>9013</v>
      </c>
      <c r="H488" s="2490"/>
      <c r="I488" s="2490"/>
      <c r="J488" s="2491"/>
      <c r="K488" s="2495"/>
    </row>
    <row r="489" spans="1:226" s="2485" customFormat="1" ht="15" hidden="1" customHeight="1">
      <c r="A489" s="3112"/>
      <c r="B489" s="3113"/>
      <c r="C489" s="3134"/>
      <c r="D489" s="3134"/>
      <c r="E489" s="2489" t="s">
        <v>593</v>
      </c>
      <c r="F489" s="2490">
        <f t="shared" si="53"/>
        <v>0</v>
      </c>
      <c r="G489" s="2490"/>
      <c r="H489" s="2490"/>
      <c r="I489" s="2490"/>
      <c r="J489" s="2491"/>
      <c r="K489" s="2482"/>
    </row>
    <row r="490" spans="1:226" s="2485" customFormat="1" ht="15" hidden="1" customHeight="1">
      <c r="A490" s="3112"/>
      <c r="B490" s="3113"/>
      <c r="C490" s="3134"/>
      <c r="D490" s="3134"/>
      <c r="E490" s="2489" t="s">
        <v>594</v>
      </c>
      <c r="F490" s="2490">
        <f t="shared" si="53"/>
        <v>0</v>
      </c>
      <c r="G490" s="2490"/>
      <c r="H490" s="2490"/>
      <c r="I490" s="2490"/>
      <c r="J490" s="2491"/>
      <c r="K490" s="2482"/>
    </row>
    <row r="491" spans="1:226" s="2485" customFormat="1" ht="15" customHeight="1">
      <c r="A491" s="3112"/>
      <c r="B491" s="3113"/>
      <c r="C491" s="3134"/>
      <c r="D491" s="3134"/>
      <c r="E491" s="2489" t="s">
        <v>595</v>
      </c>
      <c r="F491" s="2490">
        <f t="shared" si="53"/>
        <v>8876</v>
      </c>
      <c r="G491" s="2490">
        <v>8876</v>
      </c>
      <c r="H491" s="2490"/>
      <c r="I491" s="2490"/>
      <c r="J491" s="2491"/>
      <c r="K491" s="2495"/>
    </row>
    <row r="492" spans="1:226" s="2485" customFormat="1" ht="15" customHeight="1">
      <c r="A492" s="3112"/>
      <c r="B492" s="3113"/>
      <c r="C492" s="3134"/>
      <c r="D492" s="3134"/>
      <c r="E492" s="2489" t="s">
        <v>596</v>
      </c>
      <c r="F492" s="2490">
        <f t="shared" si="53"/>
        <v>1567</v>
      </c>
      <c r="G492" s="2490">
        <v>1567</v>
      </c>
      <c r="H492" s="2490"/>
      <c r="I492" s="2490"/>
      <c r="J492" s="2491"/>
      <c r="K492" s="2482"/>
    </row>
    <row r="493" spans="1:226" s="2485" customFormat="1" ht="15" customHeight="1">
      <c r="A493" s="3112"/>
      <c r="B493" s="3113"/>
      <c r="C493" s="3134"/>
      <c r="D493" s="3134"/>
      <c r="E493" s="2489" t="s">
        <v>597</v>
      </c>
      <c r="F493" s="2490">
        <f t="shared" si="53"/>
        <v>1251</v>
      </c>
      <c r="G493" s="2490">
        <v>1251</v>
      </c>
      <c r="H493" s="2490"/>
      <c r="I493" s="2490"/>
      <c r="J493" s="2491"/>
      <c r="K493" s="2482"/>
    </row>
    <row r="494" spans="1:226" s="2485" customFormat="1" ht="15" customHeight="1">
      <c r="A494" s="3112"/>
      <c r="B494" s="3113"/>
      <c r="C494" s="3134"/>
      <c r="D494" s="3134"/>
      <c r="E494" s="2489" t="s">
        <v>598</v>
      </c>
      <c r="F494" s="2490">
        <f t="shared" si="53"/>
        <v>221</v>
      </c>
      <c r="G494" s="2490">
        <v>221</v>
      </c>
      <c r="H494" s="2490"/>
      <c r="I494" s="2490"/>
      <c r="J494" s="2491"/>
      <c r="K494" s="2495"/>
    </row>
    <row r="495" spans="1:226" s="2485" customFormat="1" ht="15" customHeight="1">
      <c r="A495" s="3112"/>
      <c r="B495" s="3113"/>
      <c r="C495" s="3134"/>
      <c r="D495" s="3134"/>
      <c r="E495" s="2489" t="s">
        <v>599</v>
      </c>
      <c r="F495" s="2490">
        <f t="shared" si="53"/>
        <v>1702</v>
      </c>
      <c r="G495" s="2490">
        <v>1702</v>
      </c>
      <c r="H495" s="2490"/>
      <c r="I495" s="2490"/>
      <c r="J495" s="2491"/>
      <c r="K495" s="2482"/>
    </row>
    <row r="496" spans="1:226" s="2485" customFormat="1" ht="15" customHeight="1">
      <c r="A496" s="3112"/>
      <c r="B496" s="3113"/>
      <c r="C496" s="3134"/>
      <c r="D496" s="3134"/>
      <c r="E496" s="2489" t="s">
        <v>600</v>
      </c>
      <c r="F496" s="2490">
        <f t="shared" si="53"/>
        <v>300</v>
      </c>
      <c r="G496" s="2490">
        <v>300</v>
      </c>
      <c r="H496" s="2490"/>
      <c r="I496" s="2490"/>
      <c r="J496" s="2491"/>
      <c r="K496" s="2482"/>
    </row>
    <row r="497" spans="1:226" s="2485" customFormat="1" ht="22.5">
      <c r="A497" s="3112"/>
      <c r="B497" s="3113"/>
      <c r="C497" s="3134"/>
      <c r="D497" s="3134"/>
      <c r="E497" s="2497" t="s">
        <v>1094</v>
      </c>
      <c r="F497" s="2498">
        <f>SUM(F498:F505)</f>
        <v>91300</v>
      </c>
      <c r="G497" s="2498">
        <f>SUM(G498:G505)</f>
        <v>91300</v>
      </c>
      <c r="H497" s="2498">
        <f>SUM(H498:H505)</f>
        <v>0</v>
      </c>
      <c r="I497" s="2498">
        <f>SUM(I498:I505)</f>
        <v>0</v>
      </c>
      <c r="J497" s="2499">
        <f>SUM(J498:J505)</f>
        <v>0</v>
      </c>
      <c r="K497" s="2495"/>
    </row>
    <row r="498" spans="1:226" s="2485" customFormat="1" ht="15" customHeight="1">
      <c r="A498" s="3112"/>
      <c r="B498" s="3113"/>
      <c r="C498" s="3134"/>
      <c r="D498" s="3134"/>
      <c r="E498" s="2489" t="s">
        <v>604</v>
      </c>
      <c r="F498" s="2490">
        <f t="shared" ref="F498:F505" si="54">SUM(G498:J498)</f>
        <v>9180</v>
      </c>
      <c r="G498" s="2490">
        <v>9180</v>
      </c>
      <c r="H498" s="2490"/>
      <c r="I498" s="2490"/>
      <c r="J498" s="2491"/>
      <c r="K498" s="2482"/>
    </row>
    <row r="499" spans="1:226" s="2485" customFormat="1" ht="15" customHeight="1">
      <c r="A499" s="3112"/>
      <c r="B499" s="3113"/>
      <c r="C499" s="3134"/>
      <c r="D499" s="3134"/>
      <c r="E499" s="2489" t="s">
        <v>605</v>
      </c>
      <c r="F499" s="2490">
        <f t="shared" si="54"/>
        <v>1620</v>
      </c>
      <c r="G499" s="2490">
        <v>1620</v>
      </c>
      <c r="H499" s="2490"/>
      <c r="I499" s="2490"/>
      <c r="J499" s="2491"/>
      <c r="K499" s="2482"/>
    </row>
    <row r="500" spans="1:226" s="2485" customFormat="1" ht="15" customHeight="1">
      <c r="A500" s="3112"/>
      <c r="B500" s="3113"/>
      <c r="C500" s="3134"/>
      <c r="D500" s="3134"/>
      <c r="E500" s="2489" t="s">
        <v>608</v>
      </c>
      <c r="F500" s="2490">
        <f t="shared" si="54"/>
        <v>51850</v>
      </c>
      <c r="G500" s="2490">
        <v>51850</v>
      </c>
      <c r="H500" s="2490"/>
      <c r="I500" s="2490"/>
      <c r="J500" s="2491"/>
      <c r="K500" s="2482"/>
    </row>
    <row r="501" spans="1:226" s="2485" customFormat="1" ht="15" customHeight="1">
      <c r="A501" s="3112"/>
      <c r="B501" s="3113"/>
      <c r="C501" s="3134"/>
      <c r="D501" s="3134"/>
      <c r="E501" s="2489" t="s">
        <v>609</v>
      </c>
      <c r="F501" s="2490">
        <f t="shared" si="54"/>
        <v>9150</v>
      </c>
      <c r="G501" s="2490">
        <v>9150</v>
      </c>
      <c r="H501" s="2490"/>
      <c r="I501" s="2490"/>
      <c r="J501" s="2491"/>
      <c r="K501" s="2482"/>
    </row>
    <row r="502" spans="1:226" s="2485" customFormat="1" ht="15" customHeight="1">
      <c r="A502" s="3112"/>
      <c r="B502" s="3113"/>
      <c r="C502" s="3134"/>
      <c r="D502" s="3134"/>
      <c r="E502" s="2489" t="s">
        <v>728</v>
      </c>
      <c r="F502" s="2490">
        <f t="shared" si="54"/>
        <v>3825</v>
      </c>
      <c r="G502" s="2490">
        <v>3825</v>
      </c>
      <c r="H502" s="2490"/>
      <c r="I502" s="2490"/>
      <c r="J502" s="2491"/>
      <c r="K502" s="2482"/>
    </row>
    <row r="503" spans="1:226" s="2485" customFormat="1" ht="15" customHeight="1">
      <c r="A503" s="3112"/>
      <c r="B503" s="3113"/>
      <c r="C503" s="3134"/>
      <c r="D503" s="3134"/>
      <c r="E503" s="2489" t="s">
        <v>700</v>
      </c>
      <c r="F503" s="2490">
        <f t="shared" si="54"/>
        <v>675</v>
      </c>
      <c r="G503" s="2490">
        <v>675</v>
      </c>
      <c r="H503" s="2490"/>
      <c r="I503" s="2490"/>
      <c r="J503" s="2491"/>
      <c r="K503" s="2482"/>
    </row>
    <row r="504" spans="1:226" s="2485" customFormat="1" ht="15" customHeight="1">
      <c r="A504" s="3112"/>
      <c r="B504" s="3113"/>
      <c r="C504" s="3134"/>
      <c r="D504" s="3134"/>
      <c r="E504" s="2489" t="s">
        <v>702</v>
      </c>
      <c r="F504" s="2490">
        <f t="shared" si="54"/>
        <v>12750</v>
      </c>
      <c r="G504" s="2490">
        <v>12750</v>
      </c>
      <c r="H504" s="2490"/>
      <c r="I504" s="2490"/>
      <c r="J504" s="2491"/>
      <c r="K504" s="2482"/>
    </row>
    <row r="505" spans="1:226" s="2485" customFormat="1" ht="15" customHeight="1">
      <c r="A505" s="3112"/>
      <c r="B505" s="3113"/>
      <c r="C505" s="3134"/>
      <c r="D505" s="3134"/>
      <c r="E505" s="2489" t="s">
        <v>703</v>
      </c>
      <c r="F505" s="2490">
        <f t="shared" si="54"/>
        <v>2250</v>
      </c>
      <c r="G505" s="2490">
        <v>2250</v>
      </c>
      <c r="H505" s="2490"/>
      <c r="I505" s="2490"/>
      <c r="J505" s="2491"/>
      <c r="K505" s="2482"/>
    </row>
    <row r="506" spans="1:226" s="2485" customFormat="1" ht="15" customHeight="1">
      <c r="A506" s="3112"/>
      <c r="B506" s="3113"/>
      <c r="C506" s="3134"/>
      <c r="D506" s="3134"/>
      <c r="E506" s="2492" t="s">
        <v>1087</v>
      </c>
      <c r="F506" s="2487">
        <f>SUM(F507:F508)</f>
        <v>0</v>
      </c>
      <c r="G506" s="2487">
        <f>SUM(G507:G508)</f>
        <v>0</v>
      </c>
      <c r="H506" s="2487">
        <f>SUM(H507:H508)</f>
        <v>0</v>
      </c>
      <c r="I506" s="2487">
        <f>SUM(I507:I508)</f>
        <v>0</v>
      </c>
      <c r="J506" s="2488">
        <f>SUM(J507:J508)</f>
        <v>0</v>
      </c>
      <c r="K506" s="2482"/>
    </row>
    <row r="507" spans="1:226" s="2485" customFormat="1" ht="15" hidden="1" customHeight="1">
      <c r="A507" s="2504"/>
      <c r="B507" s="2505"/>
      <c r="C507" s="2507"/>
      <c r="D507" s="2507"/>
      <c r="E507" s="2508" t="s">
        <v>691</v>
      </c>
      <c r="F507" s="2509">
        <f>SUM(G507:J507)</f>
        <v>0</v>
      </c>
      <c r="G507" s="2509"/>
      <c r="H507" s="2509"/>
      <c r="I507" s="2509"/>
      <c r="J507" s="2510"/>
      <c r="K507" s="2482"/>
    </row>
    <row r="508" spans="1:226" s="2485" customFormat="1" ht="15" hidden="1" customHeight="1">
      <c r="A508" s="2504"/>
      <c r="B508" s="2505"/>
      <c r="C508" s="2507"/>
      <c r="D508" s="2507"/>
      <c r="E508" s="2522">
        <v>6069</v>
      </c>
      <c r="F508" s="2509">
        <f>SUM(G508:J508)</f>
        <v>0</v>
      </c>
      <c r="G508" s="2509"/>
      <c r="H508" s="2509"/>
      <c r="I508" s="2509"/>
      <c r="J508" s="2510"/>
      <c r="K508" s="2482"/>
    </row>
    <row r="509" spans="1:226" s="2523" customFormat="1" ht="22.5">
      <c r="A509" s="3112" t="s">
        <v>1140</v>
      </c>
      <c r="B509" s="3113" t="s">
        <v>1141</v>
      </c>
      <c r="C509" s="3134" t="s">
        <v>5</v>
      </c>
      <c r="D509" s="3134" t="s">
        <v>966</v>
      </c>
      <c r="E509" s="2479" t="s">
        <v>1086</v>
      </c>
      <c r="F509" s="2480">
        <f>SUM(F510,F531)</f>
        <v>87000</v>
      </c>
      <c r="G509" s="2480">
        <f>SUM(G510,G531)</f>
        <v>87000</v>
      </c>
      <c r="H509" s="2480">
        <f>SUM(H510,H531)</f>
        <v>0</v>
      </c>
      <c r="I509" s="2480">
        <f>SUM(I510,I531)</f>
        <v>0</v>
      </c>
      <c r="J509" s="2481">
        <f>SUM(J510,J531)</f>
        <v>0</v>
      </c>
      <c r="K509" s="2482"/>
      <c r="L509" s="2482"/>
      <c r="M509" s="2482"/>
      <c r="N509" s="2482"/>
      <c r="O509" s="2482"/>
      <c r="P509" s="2482"/>
      <c r="Q509" s="2482"/>
      <c r="R509" s="2482"/>
      <c r="S509" s="2482"/>
      <c r="T509" s="2482"/>
      <c r="U509" s="2482"/>
      <c r="V509" s="2482"/>
      <c r="W509" s="2482"/>
      <c r="X509" s="2482"/>
      <c r="Y509" s="2482"/>
      <c r="Z509" s="2482"/>
      <c r="AA509" s="2482"/>
      <c r="AB509" s="2482"/>
      <c r="AC509" s="2482"/>
      <c r="AD509" s="2482"/>
      <c r="AE509" s="2482"/>
      <c r="AF509" s="2482"/>
      <c r="AG509" s="2482"/>
      <c r="AH509" s="2482"/>
      <c r="AI509" s="2482"/>
      <c r="AJ509" s="2482"/>
      <c r="AK509" s="2482"/>
      <c r="AL509" s="2482"/>
      <c r="AM509" s="2482"/>
      <c r="AN509" s="2482"/>
      <c r="AO509" s="2482"/>
      <c r="AP509" s="2482"/>
      <c r="AQ509" s="2482"/>
      <c r="AR509" s="2482"/>
      <c r="AS509" s="2482"/>
      <c r="AT509" s="2482"/>
      <c r="AU509" s="2482"/>
      <c r="AV509" s="2482"/>
      <c r="AW509" s="2482"/>
      <c r="AX509" s="2482"/>
      <c r="AY509" s="2482"/>
      <c r="AZ509" s="2482"/>
      <c r="BA509" s="2482"/>
      <c r="BB509" s="2482"/>
      <c r="BC509" s="2482"/>
      <c r="BD509" s="2482"/>
      <c r="BE509" s="2482"/>
      <c r="BF509" s="2482"/>
      <c r="BG509" s="2482"/>
      <c r="BH509" s="2482"/>
      <c r="BI509" s="2482"/>
      <c r="BJ509" s="2482"/>
      <c r="BK509" s="2482"/>
      <c r="BL509" s="2482"/>
      <c r="BM509" s="2482"/>
      <c r="BN509" s="2482"/>
      <c r="BO509" s="2482"/>
      <c r="BP509" s="2482"/>
      <c r="BQ509" s="2482"/>
      <c r="BR509" s="2482"/>
      <c r="BS509" s="2482"/>
      <c r="BT509" s="2482"/>
      <c r="BU509" s="2482"/>
      <c r="BV509" s="2482"/>
      <c r="BW509" s="2482"/>
      <c r="BX509" s="2482"/>
      <c r="BY509" s="2482"/>
      <c r="BZ509" s="2482"/>
      <c r="CA509" s="2482"/>
      <c r="CB509" s="2482"/>
      <c r="CC509" s="2482"/>
      <c r="CD509" s="2482"/>
      <c r="CE509" s="2482"/>
      <c r="CF509" s="2482"/>
      <c r="CG509" s="2482"/>
      <c r="CH509" s="2482"/>
      <c r="CI509" s="2482"/>
      <c r="CJ509" s="2482"/>
      <c r="CK509" s="2482"/>
      <c r="CL509" s="2482"/>
      <c r="CM509" s="2482"/>
      <c r="CN509" s="2482"/>
      <c r="CO509" s="2482"/>
      <c r="CP509" s="2482"/>
      <c r="CQ509" s="2482"/>
      <c r="CR509" s="2482"/>
      <c r="CS509" s="2482"/>
      <c r="CT509" s="2482"/>
      <c r="CU509" s="2482"/>
      <c r="CV509" s="2482"/>
      <c r="CW509" s="2482"/>
      <c r="CX509" s="2482"/>
      <c r="CY509" s="2482"/>
      <c r="CZ509" s="2482"/>
      <c r="DA509" s="2482"/>
      <c r="DB509" s="2482"/>
      <c r="DC509" s="2482"/>
      <c r="DD509" s="2482"/>
      <c r="DE509" s="2482"/>
      <c r="DF509" s="2482"/>
      <c r="DG509" s="2482"/>
      <c r="DH509" s="2482"/>
      <c r="DI509" s="2482"/>
      <c r="DJ509" s="2482"/>
      <c r="DK509" s="2482"/>
      <c r="DL509" s="2482"/>
      <c r="DM509" s="2482"/>
      <c r="DN509" s="2482"/>
      <c r="DO509" s="2482"/>
      <c r="DP509" s="2482"/>
      <c r="DQ509" s="2482"/>
      <c r="DR509" s="2482"/>
      <c r="DS509" s="2482"/>
      <c r="DT509" s="2482"/>
      <c r="DU509" s="2482"/>
      <c r="DV509" s="2482"/>
      <c r="DW509" s="2482"/>
      <c r="DX509" s="2482"/>
      <c r="DY509" s="2482"/>
      <c r="DZ509" s="2482"/>
      <c r="EA509" s="2482"/>
      <c r="EB509" s="2482"/>
      <c r="EC509" s="2482"/>
      <c r="ED509" s="2482"/>
      <c r="EE509" s="2482"/>
      <c r="EF509" s="2482"/>
      <c r="EG509" s="2482"/>
      <c r="EH509" s="2482"/>
      <c r="EI509" s="2482"/>
      <c r="EJ509" s="2482"/>
      <c r="EK509" s="2482"/>
      <c r="EL509" s="2482"/>
      <c r="EM509" s="2482"/>
      <c r="EN509" s="2482"/>
      <c r="EO509" s="2482"/>
      <c r="EP509" s="2482"/>
      <c r="EQ509" s="2482"/>
      <c r="ER509" s="2482"/>
      <c r="ES509" s="2482"/>
      <c r="ET509" s="2482"/>
      <c r="EU509" s="2482"/>
      <c r="EV509" s="2482"/>
      <c r="EW509" s="2482"/>
      <c r="EX509" s="2482"/>
      <c r="EY509" s="2482"/>
      <c r="EZ509" s="2482"/>
      <c r="FA509" s="2482"/>
      <c r="FB509" s="2482"/>
      <c r="FC509" s="2482"/>
      <c r="FD509" s="2482"/>
      <c r="FE509" s="2482"/>
      <c r="FF509" s="2482"/>
      <c r="FG509" s="2482"/>
      <c r="FH509" s="2482"/>
      <c r="FI509" s="2482"/>
      <c r="FJ509" s="2482"/>
      <c r="FK509" s="2482"/>
      <c r="FL509" s="2482"/>
      <c r="FM509" s="2482"/>
      <c r="FN509" s="2482"/>
      <c r="FO509" s="2482"/>
      <c r="FP509" s="2482"/>
      <c r="FQ509" s="2482"/>
      <c r="FR509" s="2482"/>
      <c r="FS509" s="2482"/>
      <c r="FT509" s="2482"/>
      <c r="FU509" s="2482"/>
      <c r="FV509" s="2482"/>
      <c r="FW509" s="2482"/>
      <c r="FX509" s="2482"/>
      <c r="FY509" s="2482"/>
      <c r="FZ509" s="2482"/>
      <c r="GA509" s="2482"/>
      <c r="GB509" s="2482"/>
      <c r="GC509" s="2482"/>
      <c r="GD509" s="2482"/>
      <c r="GE509" s="2482"/>
      <c r="GF509" s="2482"/>
      <c r="GG509" s="2482"/>
      <c r="GH509" s="2482"/>
      <c r="GI509" s="2482"/>
      <c r="GJ509" s="2482"/>
      <c r="GK509" s="2482"/>
      <c r="GL509" s="2482"/>
      <c r="GM509" s="2482"/>
      <c r="GN509" s="2482"/>
      <c r="GO509" s="2482"/>
      <c r="GP509" s="2482"/>
      <c r="GQ509" s="2482"/>
      <c r="GR509" s="2482"/>
      <c r="GS509" s="2482"/>
      <c r="GT509" s="2482"/>
      <c r="GU509" s="2482"/>
      <c r="GV509" s="2482"/>
      <c r="GW509" s="2482"/>
      <c r="GX509" s="2482"/>
      <c r="GY509" s="2482"/>
      <c r="GZ509" s="2482"/>
      <c r="HA509" s="2482"/>
      <c r="HB509" s="2482"/>
      <c r="HC509" s="2482"/>
      <c r="HD509" s="2482"/>
      <c r="HE509" s="2482"/>
      <c r="HF509" s="2482"/>
      <c r="HG509" s="2482"/>
      <c r="HH509" s="2482"/>
      <c r="HI509" s="2482"/>
      <c r="HJ509" s="2482"/>
      <c r="HK509" s="2482"/>
      <c r="HL509" s="2482"/>
      <c r="HM509" s="2482"/>
      <c r="HN509" s="2482"/>
      <c r="HO509" s="2482"/>
      <c r="HP509" s="2482"/>
      <c r="HQ509" s="2482"/>
      <c r="HR509" s="2482"/>
    </row>
    <row r="510" spans="1:226" s="2523" customFormat="1" ht="21">
      <c r="A510" s="3112"/>
      <c r="B510" s="3113"/>
      <c r="C510" s="3134"/>
      <c r="D510" s="3134"/>
      <c r="E510" s="2486" t="s">
        <v>1092</v>
      </c>
      <c r="F510" s="2487">
        <f>SUM(F511,F520)</f>
        <v>87000</v>
      </c>
      <c r="G510" s="2487">
        <f>SUM(G511,G520)</f>
        <v>87000</v>
      </c>
      <c r="H510" s="2487">
        <f>SUM(H511,H520)</f>
        <v>0</v>
      </c>
      <c r="I510" s="2487">
        <f>SUM(I511,I520)</f>
        <v>0</v>
      </c>
      <c r="J510" s="2488">
        <f>SUM(J511,J520)</f>
        <v>0</v>
      </c>
      <c r="K510" s="2482"/>
    </row>
    <row r="511" spans="1:226" s="2523" customFormat="1" ht="20.25" customHeight="1">
      <c r="A511" s="3112"/>
      <c r="B511" s="3113"/>
      <c r="C511" s="3134"/>
      <c r="D511" s="3134"/>
      <c r="E511" s="2497" t="s">
        <v>1093</v>
      </c>
      <c r="F511" s="2498">
        <f>SUM(F512:F519)</f>
        <v>45750</v>
      </c>
      <c r="G511" s="2498">
        <f>SUM(G512:G519)</f>
        <v>45750</v>
      </c>
      <c r="H511" s="2498">
        <f>SUM(H512:H519)</f>
        <v>0</v>
      </c>
      <c r="I511" s="2498">
        <f>SUM(I512:I519)</f>
        <v>0</v>
      </c>
      <c r="J511" s="2499">
        <f>SUM(J512:J519)</f>
        <v>0</v>
      </c>
      <c r="K511" s="2482"/>
    </row>
    <row r="512" spans="1:226" s="2523" customFormat="1" ht="14.1" customHeight="1">
      <c r="A512" s="3112"/>
      <c r="B512" s="3113"/>
      <c r="C512" s="3134"/>
      <c r="D512" s="3134"/>
      <c r="E512" s="2489" t="s">
        <v>591</v>
      </c>
      <c r="F512" s="2490">
        <f t="shared" ref="F512:F519" si="55">SUM(G512:J512)</f>
        <v>33000</v>
      </c>
      <c r="G512" s="2490">
        <v>33000</v>
      </c>
      <c r="H512" s="2490"/>
      <c r="I512" s="2490"/>
      <c r="J512" s="2491"/>
      <c r="K512" s="2495"/>
    </row>
    <row r="513" spans="1:11" s="2523" customFormat="1" ht="14.1" customHeight="1">
      <c r="A513" s="3112"/>
      <c r="B513" s="3113"/>
      <c r="C513" s="3134"/>
      <c r="D513" s="3134"/>
      <c r="E513" s="2489" t="s">
        <v>592</v>
      </c>
      <c r="F513" s="2490">
        <f t="shared" si="55"/>
        <v>6000</v>
      </c>
      <c r="G513" s="2490">
        <v>6000</v>
      </c>
      <c r="H513" s="2490"/>
      <c r="I513" s="2490"/>
      <c r="J513" s="2491"/>
      <c r="K513" s="2495"/>
    </row>
    <row r="514" spans="1:11" s="2523" customFormat="1" ht="14.1" customHeight="1">
      <c r="A514" s="3112"/>
      <c r="B514" s="3113"/>
      <c r="C514" s="3134"/>
      <c r="D514" s="3134"/>
      <c r="E514" s="2489" t="s">
        <v>595</v>
      </c>
      <c r="F514" s="2490">
        <f t="shared" si="55"/>
        <v>3000</v>
      </c>
      <c r="G514" s="2490">
        <v>3000</v>
      </c>
      <c r="H514" s="2490"/>
      <c r="I514" s="2490"/>
      <c r="J514" s="2491"/>
      <c r="K514" s="2495"/>
    </row>
    <row r="515" spans="1:11" s="2523" customFormat="1" ht="14.1" customHeight="1">
      <c r="A515" s="3112"/>
      <c r="B515" s="3113"/>
      <c r="C515" s="3134"/>
      <c r="D515" s="3134"/>
      <c r="E515" s="2489" t="s">
        <v>596</v>
      </c>
      <c r="F515" s="2490">
        <f t="shared" si="55"/>
        <v>400</v>
      </c>
      <c r="G515" s="2490">
        <v>400</v>
      </c>
      <c r="H515" s="2490"/>
      <c r="I515" s="2490"/>
      <c r="J515" s="2491"/>
      <c r="K515" s="2482"/>
    </row>
    <row r="516" spans="1:11" s="2523" customFormat="1" ht="14.1" customHeight="1">
      <c r="A516" s="3112"/>
      <c r="B516" s="3113"/>
      <c r="C516" s="3134"/>
      <c r="D516" s="3134"/>
      <c r="E516" s="2489" t="s">
        <v>597</v>
      </c>
      <c r="F516" s="2490">
        <f t="shared" si="55"/>
        <v>500</v>
      </c>
      <c r="G516" s="2490">
        <v>500</v>
      </c>
      <c r="H516" s="2490"/>
      <c r="I516" s="2490"/>
      <c r="J516" s="2491"/>
      <c r="K516" s="2482"/>
    </row>
    <row r="517" spans="1:11" s="2523" customFormat="1" ht="14.1" customHeight="1">
      <c r="A517" s="3112"/>
      <c r="B517" s="3113"/>
      <c r="C517" s="3134"/>
      <c r="D517" s="3134"/>
      <c r="E517" s="2489" t="s">
        <v>598</v>
      </c>
      <c r="F517" s="2490">
        <f t="shared" si="55"/>
        <v>200</v>
      </c>
      <c r="G517" s="2490">
        <v>200</v>
      </c>
      <c r="H517" s="2490"/>
      <c r="I517" s="2490"/>
      <c r="J517" s="2491"/>
      <c r="K517" s="2482"/>
    </row>
    <row r="518" spans="1:11" s="2523" customFormat="1" ht="14.1" customHeight="1">
      <c r="A518" s="3112"/>
      <c r="B518" s="3113"/>
      <c r="C518" s="3134"/>
      <c r="D518" s="3134"/>
      <c r="E518" s="2489" t="s">
        <v>599</v>
      </c>
      <c r="F518" s="2490">
        <f t="shared" si="55"/>
        <v>2200</v>
      </c>
      <c r="G518" s="2490">
        <v>2200</v>
      </c>
      <c r="H518" s="2490"/>
      <c r="I518" s="2490"/>
      <c r="J518" s="2491"/>
      <c r="K518" s="2482"/>
    </row>
    <row r="519" spans="1:11" s="2523" customFormat="1" ht="14.1" customHeight="1">
      <c r="A519" s="3112"/>
      <c r="B519" s="3113"/>
      <c r="C519" s="3134"/>
      <c r="D519" s="3134"/>
      <c r="E519" s="2489" t="s">
        <v>600</v>
      </c>
      <c r="F519" s="2490">
        <f t="shared" si="55"/>
        <v>450</v>
      </c>
      <c r="G519" s="2490">
        <v>450</v>
      </c>
      <c r="H519" s="2490"/>
      <c r="I519" s="2490"/>
      <c r="J519" s="2491"/>
      <c r="K519" s="2482"/>
    </row>
    <row r="520" spans="1:11" s="2523" customFormat="1" ht="20.25" customHeight="1">
      <c r="A520" s="3112"/>
      <c r="B520" s="3113"/>
      <c r="C520" s="3134"/>
      <c r="D520" s="3134"/>
      <c r="E520" s="2497" t="s">
        <v>1094</v>
      </c>
      <c r="F520" s="2498">
        <f>SUM(F521:F530)</f>
        <v>41250</v>
      </c>
      <c r="G520" s="2498">
        <f>SUM(G521:G530)</f>
        <v>41250</v>
      </c>
      <c r="H520" s="2498">
        <f>SUM(H521:H530)</f>
        <v>0</v>
      </c>
      <c r="I520" s="2498">
        <f>SUM(I521:I530)</f>
        <v>0</v>
      </c>
      <c r="J520" s="2499">
        <f>SUM(J521:J530)</f>
        <v>0</v>
      </c>
      <c r="K520" s="2482"/>
    </row>
    <row r="521" spans="1:11" s="2523" customFormat="1" ht="15" hidden="1" customHeight="1">
      <c r="A521" s="3112"/>
      <c r="B521" s="3113"/>
      <c r="C521" s="3134"/>
      <c r="D521" s="3134"/>
      <c r="E521" s="2489" t="s">
        <v>743</v>
      </c>
      <c r="F521" s="2490">
        <f t="shared" ref="F521:F530" si="56">SUM(G521:J521)</f>
        <v>0</v>
      </c>
      <c r="G521" s="2490"/>
      <c r="H521" s="2490"/>
      <c r="I521" s="2490"/>
      <c r="J521" s="2491"/>
      <c r="K521" s="2482"/>
    </row>
    <row r="522" spans="1:11" s="2523" customFormat="1" ht="15" hidden="1" customHeight="1">
      <c r="A522" s="3112"/>
      <c r="B522" s="3113"/>
      <c r="C522" s="3134"/>
      <c r="D522" s="3134"/>
      <c r="E522" s="2489" t="s">
        <v>745</v>
      </c>
      <c r="F522" s="2490">
        <f t="shared" si="56"/>
        <v>0</v>
      </c>
      <c r="G522" s="2490"/>
      <c r="H522" s="2490"/>
      <c r="I522" s="2490"/>
      <c r="J522" s="2491"/>
      <c r="K522" s="2482"/>
    </row>
    <row r="523" spans="1:11" s="2523" customFormat="1" ht="14.1" customHeight="1">
      <c r="A523" s="3112"/>
      <c r="B523" s="3113"/>
      <c r="C523" s="3134"/>
      <c r="D523" s="3134"/>
      <c r="E523" s="2489" t="s">
        <v>604</v>
      </c>
      <c r="F523" s="2490">
        <f t="shared" si="56"/>
        <v>5100</v>
      </c>
      <c r="G523" s="2490">
        <v>5100</v>
      </c>
      <c r="H523" s="2490"/>
      <c r="I523" s="2490"/>
      <c r="J523" s="2491"/>
      <c r="K523" s="2482"/>
    </row>
    <row r="524" spans="1:11" s="2523" customFormat="1" ht="14.1" customHeight="1">
      <c r="A524" s="3112"/>
      <c r="B524" s="3113"/>
      <c r="C524" s="3134"/>
      <c r="D524" s="3134"/>
      <c r="E524" s="2489" t="s">
        <v>605</v>
      </c>
      <c r="F524" s="2490">
        <f t="shared" si="56"/>
        <v>900</v>
      </c>
      <c r="G524" s="2490">
        <v>900</v>
      </c>
      <c r="H524" s="2490"/>
      <c r="I524" s="2490"/>
      <c r="J524" s="2491"/>
      <c r="K524" s="2482"/>
    </row>
    <row r="525" spans="1:11" s="2523" customFormat="1" ht="14.1" customHeight="1">
      <c r="A525" s="3112"/>
      <c r="B525" s="3113"/>
      <c r="C525" s="3134"/>
      <c r="D525" s="3134"/>
      <c r="E525" s="2489" t="s">
        <v>608</v>
      </c>
      <c r="F525" s="2490">
        <f t="shared" si="56"/>
        <v>17800</v>
      </c>
      <c r="G525" s="2490">
        <v>17800</v>
      </c>
      <c r="H525" s="2490"/>
      <c r="I525" s="2490"/>
      <c r="J525" s="2491"/>
      <c r="K525" s="2482"/>
    </row>
    <row r="526" spans="1:11" s="2523" customFormat="1" ht="14.1" customHeight="1">
      <c r="A526" s="3112"/>
      <c r="B526" s="3113"/>
      <c r="C526" s="3134"/>
      <c r="D526" s="3134"/>
      <c r="E526" s="2489" t="s">
        <v>609</v>
      </c>
      <c r="F526" s="2490">
        <f t="shared" si="56"/>
        <v>3000</v>
      </c>
      <c r="G526" s="2490">
        <v>3000</v>
      </c>
      <c r="H526" s="2490"/>
      <c r="I526" s="2490"/>
      <c r="J526" s="2491"/>
      <c r="K526" s="2482"/>
    </row>
    <row r="527" spans="1:11" s="2523" customFormat="1" ht="14.1" customHeight="1">
      <c r="A527" s="3112"/>
      <c r="B527" s="3113"/>
      <c r="C527" s="3134"/>
      <c r="D527" s="3134"/>
      <c r="E527" s="2489" t="s">
        <v>612</v>
      </c>
      <c r="F527" s="2490">
        <f t="shared" si="56"/>
        <v>850</v>
      </c>
      <c r="G527" s="2490">
        <v>850</v>
      </c>
      <c r="H527" s="2490"/>
      <c r="I527" s="2490"/>
      <c r="J527" s="2491"/>
      <c r="K527" s="2482"/>
    </row>
    <row r="528" spans="1:11" s="2523" customFormat="1" ht="14.1" customHeight="1">
      <c r="A528" s="3112"/>
      <c r="B528" s="3113"/>
      <c r="C528" s="3134"/>
      <c r="D528" s="3134"/>
      <c r="E528" s="2489" t="s">
        <v>613</v>
      </c>
      <c r="F528" s="2490">
        <f t="shared" si="56"/>
        <v>150</v>
      </c>
      <c r="G528" s="2490">
        <v>150</v>
      </c>
      <c r="H528" s="2490"/>
      <c r="I528" s="2490"/>
      <c r="J528" s="2491"/>
      <c r="K528" s="2482"/>
    </row>
    <row r="529" spans="1:226" s="2523" customFormat="1" ht="14.1" customHeight="1">
      <c r="A529" s="3112"/>
      <c r="B529" s="3113"/>
      <c r="C529" s="3134"/>
      <c r="D529" s="3134"/>
      <c r="E529" s="2489" t="s">
        <v>702</v>
      </c>
      <c r="F529" s="2490">
        <f t="shared" si="56"/>
        <v>11500</v>
      </c>
      <c r="G529" s="2490">
        <v>11500</v>
      </c>
      <c r="H529" s="2490"/>
      <c r="I529" s="2490"/>
      <c r="J529" s="2491"/>
      <c r="K529" s="2482"/>
    </row>
    <row r="530" spans="1:226" s="2523" customFormat="1" ht="14.1" customHeight="1">
      <c r="A530" s="3112"/>
      <c r="B530" s="3113"/>
      <c r="C530" s="3134"/>
      <c r="D530" s="3134"/>
      <c r="E530" s="2489" t="s">
        <v>703</v>
      </c>
      <c r="F530" s="2490">
        <f t="shared" si="56"/>
        <v>1950</v>
      </c>
      <c r="G530" s="2490">
        <v>1950</v>
      </c>
      <c r="H530" s="2490"/>
      <c r="I530" s="2490"/>
      <c r="J530" s="2491"/>
      <c r="K530" s="2482"/>
    </row>
    <row r="531" spans="1:226" s="2523" customFormat="1" ht="15" customHeight="1">
      <c r="A531" s="3112"/>
      <c r="B531" s="3113"/>
      <c r="C531" s="3134"/>
      <c r="D531" s="3134"/>
      <c r="E531" s="2492" t="s">
        <v>1087</v>
      </c>
      <c r="F531" s="2487">
        <f>SUM(F532:F533)</f>
        <v>0</v>
      </c>
      <c r="G531" s="2487">
        <f>SUM(G532:G533)</f>
        <v>0</v>
      </c>
      <c r="H531" s="2487">
        <f>SUM(H532:H533)</f>
        <v>0</v>
      </c>
      <c r="I531" s="2487">
        <f>SUM(I532:I533)</f>
        <v>0</v>
      </c>
      <c r="J531" s="2488">
        <f>SUM(J532:J533)</f>
        <v>0</v>
      </c>
      <c r="K531" s="2482"/>
    </row>
    <row r="532" spans="1:226" s="2485" customFormat="1" ht="15" hidden="1" customHeight="1">
      <c r="A532" s="2504"/>
      <c r="B532" s="2505"/>
      <c r="C532" s="2507"/>
      <c r="D532" s="2507"/>
      <c r="E532" s="2508"/>
      <c r="F532" s="2509">
        <f>SUM(G532:J532)</f>
        <v>0</v>
      </c>
      <c r="G532" s="2509"/>
      <c r="H532" s="2509"/>
      <c r="I532" s="2509"/>
      <c r="J532" s="2510"/>
      <c r="K532" s="2482"/>
    </row>
    <row r="533" spans="1:226" s="2485" customFormat="1" ht="15" hidden="1" customHeight="1">
      <c r="A533" s="2504"/>
      <c r="B533" s="2505"/>
      <c r="C533" s="2507"/>
      <c r="D533" s="2507"/>
      <c r="E533" s="2522"/>
      <c r="F533" s="2509">
        <f>SUM(G533:J533)</f>
        <v>0</v>
      </c>
      <c r="G533" s="2509"/>
      <c r="H533" s="2509"/>
      <c r="I533" s="2509"/>
      <c r="J533" s="2510"/>
      <c r="K533" s="2482"/>
    </row>
    <row r="534" spans="1:226" s="2485" customFormat="1" ht="22.5" customHeight="1">
      <c r="A534" s="3139" t="s">
        <v>1142</v>
      </c>
      <c r="B534" s="3148" t="s">
        <v>1143</v>
      </c>
      <c r="C534" s="3117" t="s">
        <v>62</v>
      </c>
      <c r="D534" s="3117" t="s">
        <v>63</v>
      </c>
      <c r="E534" s="2479" t="s">
        <v>1086</v>
      </c>
      <c r="F534" s="2480">
        <f>SUM(F535,F554)</f>
        <v>145721</v>
      </c>
      <c r="G534" s="2480">
        <f>SUM(G535,G554)</f>
        <v>145721</v>
      </c>
      <c r="H534" s="2480">
        <f>SUM(H535,H554)</f>
        <v>0</v>
      </c>
      <c r="I534" s="2480">
        <f>SUM(I535,I554)</f>
        <v>0</v>
      </c>
      <c r="J534" s="2481">
        <f>SUM(J535,J554)</f>
        <v>0</v>
      </c>
      <c r="K534" s="2482"/>
      <c r="L534" s="2484"/>
      <c r="M534" s="2484"/>
      <c r="N534" s="2484"/>
      <c r="O534" s="2484"/>
      <c r="P534" s="2484"/>
      <c r="Q534" s="2484"/>
      <c r="R534" s="2484"/>
      <c r="S534" s="2484"/>
      <c r="T534" s="2484"/>
      <c r="U534" s="2484"/>
      <c r="V534" s="2484"/>
      <c r="W534" s="2484"/>
      <c r="X534" s="2484"/>
      <c r="Y534" s="2484"/>
      <c r="Z534" s="2484"/>
      <c r="AA534" s="2484"/>
      <c r="AB534" s="2484"/>
      <c r="AC534" s="2484"/>
      <c r="AD534" s="2484"/>
      <c r="AE534" s="2484"/>
      <c r="AF534" s="2484"/>
      <c r="AG534" s="2484"/>
      <c r="AH534" s="2484"/>
      <c r="AI534" s="2484"/>
      <c r="AJ534" s="2484"/>
      <c r="AK534" s="2484"/>
      <c r="AL534" s="2484"/>
      <c r="AM534" s="2484"/>
      <c r="AN534" s="2484"/>
      <c r="AO534" s="2484"/>
      <c r="AP534" s="2484"/>
      <c r="AQ534" s="2484"/>
      <c r="AR534" s="2484"/>
      <c r="AS534" s="2484"/>
      <c r="AT534" s="2484"/>
      <c r="AU534" s="2484"/>
      <c r="AV534" s="2484"/>
      <c r="AW534" s="2484"/>
      <c r="AX534" s="2484"/>
      <c r="AY534" s="2484"/>
      <c r="AZ534" s="2484"/>
      <c r="BA534" s="2484"/>
      <c r="BB534" s="2484"/>
      <c r="BC534" s="2484"/>
      <c r="BD534" s="2484"/>
      <c r="BE534" s="2484"/>
      <c r="BF534" s="2484"/>
      <c r="BG534" s="2484"/>
      <c r="BH534" s="2484"/>
      <c r="BI534" s="2484"/>
      <c r="BJ534" s="2484"/>
      <c r="BK534" s="2484"/>
      <c r="BL534" s="2484"/>
      <c r="BM534" s="2484"/>
      <c r="BN534" s="2484"/>
      <c r="BO534" s="2484"/>
      <c r="BP534" s="2484"/>
      <c r="BQ534" s="2484"/>
      <c r="BR534" s="2484"/>
      <c r="BS534" s="2484"/>
      <c r="BT534" s="2484"/>
      <c r="BU534" s="2484"/>
      <c r="BV534" s="2484"/>
      <c r="BW534" s="2484"/>
      <c r="BX534" s="2484"/>
      <c r="BY534" s="2484"/>
      <c r="BZ534" s="2484"/>
      <c r="CA534" s="2484"/>
      <c r="CB534" s="2484"/>
      <c r="CC534" s="2484"/>
      <c r="CD534" s="2484"/>
      <c r="CE534" s="2484"/>
      <c r="CF534" s="2484"/>
      <c r="CG534" s="2484"/>
      <c r="CH534" s="2484"/>
      <c r="CI534" s="2484"/>
      <c r="CJ534" s="2484"/>
      <c r="CK534" s="2484"/>
      <c r="CL534" s="2484"/>
      <c r="CM534" s="2484"/>
      <c r="CN534" s="2484"/>
      <c r="CO534" s="2484"/>
      <c r="CP534" s="2484"/>
      <c r="CQ534" s="2484"/>
      <c r="CR534" s="2484"/>
      <c r="CS534" s="2484"/>
      <c r="CT534" s="2484"/>
      <c r="CU534" s="2484"/>
      <c r="CV534" s="2484"/>
      <c r="CW534" s="2484"/>
      <c r="CX534" s="2484"/>
      <c r="CY534" s="2484"/>
      <c r="CZ534" s="2484"/>
      <c r="DA534" s="2484"/>
      <c r="DB534" s="2484"/>
      <c r="DC534" s="2484"/>
      <c r="DD534" s="2484"/>
      <c r="DE534" s="2484"/>
      <c r="DF534" s="2484"/>
      <c r="DG534" s="2484"/>
      <c r="DH534" s="2484"/>
      <c r="DI534" s="2484"/>
      <c r="DJ534" s="2484"/>
      <c r="DK534" s="2484"/>
      <c r="DL534" s="2484"/>
      <c r="DM534" s="2484"/>
      <c r="DN534" s="2484"/>
      <c r="DO534" s="2484"/>
      <c r="DP534" s="2484"/>
      <c r="DQ534" s="2484"/>
      <c r="DR534" s="2484"/>
      <c r="DS534" s="2484"/>
      <c r="DT534" s="2484"/>
      <c r="DU534" s="2484"/>
      <c r="DV534" s="2484"/>
      <c r="DW534" s="2484"/>
      <c r="DX534" s="2484"/>
      <c r="DY534" s="2484"/>
      <c r="DZ534" s="2484"/>
      <c r="EA534" s="2484"/>
      <c r="EB534" s="2484"/>
      <c r="EC534" s="2484"/>
      <c r="ED534" s="2484"/>
      <c r="EE534" s="2484"/>
      <c r="EF534" s="2484"/>
      <c r="EG534" s="2484"/>
      <c r="EH534" s="2484"/>
      <c r="EI534" s="2484"/>
      <c r="EJ534" s="2484"/>
      <c r="EK534" s="2484"/>
      <c r="EL534" s="2484"/>
      <c r="EM534" s="2484"/>
      <c r="EN534" s="2484"/>
      <c r="EO534" s="2484"/>
      <c r="EP534" s="2484"/>
      <c r="EQ534" s="2484"/>
      <c r="ER534" s="2484"/>
      <c r="ES534" s="2484"/>
      <c r="ET534" s="2484"/>
      <c r="EU534" s="2484"/>
      <c r="EV534" s="2484"/>
      <c r="EW534" s="2484"/>
      <c r="EX534" s="2484"/>
      <c r="EY534" s="2484"/>
      <c r="EZ534" s="2484"/>
      <c r="FA534" s="2484"/>
      <c r="FB534" s="2484"/>
      <c r="FC534" s="2484"/>
      <c r="FD534" s="2484"/>
      <c r="FE534" s="2484"/>
      <c r="FF534" s="2484"/>
      <c r="FG534" s="2484"/>
      <c r="FH534" s="2484"/>
      <c r="FI534" s="2484"/>
      <c r="FJ534" s="2484"/>
      <c r="FK534" s="2484"/>
      <c r="FL534" s="2484"/>
      <c r="FM534" s="2484"/>
      <c r="FN534" s="2484"/>
      <c r="FO534" s="2484"/>
      <c r="FP534" s="2484"/>
      <c r="FQ534" s="2484"/>
      <c r="FR534" s="2484"/>
      <c r="FS534" s="2484"/>
      <c r="FT534" s="2484"/>
      <c r="FU534" s="2484"/>
      <c r="FV534" s="2484"/>
      <c r="FW534" s="2484"/>
      <c r="FX534" s="2484"/>
      <c r="FY534" s="2484"/>
      <c r="FZ534" s="2484"/>
      <c r="GA534" s="2484"/>
      <c r="GB534" s="2484"/>
      <c r="GC534" s="2484"/>
      <c r="GD534" s="2484"/>
      <c r="GE534" s="2484"/>
      <c r="GF534" s="2484"/>
      <c r="GG534" s="2484"/>
      <c r="GH534" s="2484"/>
      <c r="GI534" s="2484"/>
      <c r="GJ534" s="2484"/>
      <c r="GK534" s="2484"/>
      <c r="GL534" s="2484"/>
      <c r="GM534" s="2484"/>
      <c r="GN534" s="2484"/>
      <c r="GO534" s="2484"/>
      <c r="GP534" s="2484"/>
      <c r="GQ534" s="2484"/>
      <c r="GR534" s="2484"/>
      <c r="GS534" s="2484"/>
      <c r="GT534" s="2484"/>
      <c r="GU534" s="2484"/>
      <c r="GV534" s="2484"/>
      <c r="GW534" s="2484"/>
      <c r="GX534" s="2484"/>
      <c r="GY534" s="2484"/>
      <c r="GZ534" s="2484"/>
      <c r="HA534" s="2484"/>
      <c r="HB534" s="2484"/>
      <c r="HC534" s="2484"/>
      <c r="HD534" s="2484"/>
      <c r="HE534" s="2484"/>
      <c r="HF534" s="2484"/>
      <c r="HG534" s="2484"/>
      <c r="HH534" s="2484"/>
      <c r="HI534" s="2484"/>
      <c r="HJ534" s="2484"/>
      <c r="HK534" s="2484"/>
      <c r="HL534" s="2484"/>
      <c r="HM534" s="2484"/>
      <c r="HN534" s="2484"/>
      <c r="HO534" s="2484"/>
      <c r="HP534" s="2484"/>
      <c r="HQ534" s="2484"/>
      <c r="HR534" s="2484"/>
    </row>
    <row r="535" spans="1:226" s="2485" customFormat="1" ht="21">
      <c r="A535" s="3140"/>
      <c r="B535" s="3149"/>
      <c r="C535" s="3146"/>
      <c r="D535" s="3146"/>
      <c r="E535" s="2486" t="s">
        <v>1092</v>
      </c>
      <c r="F535" s="2487">
        <f>SUM(F536,F545)</f>
        <v>145721</v>
      </c>
      <c r="G535" s="2487">
        <f>SUM(G536,G545)</f>
        <v>145721</v>
      </c>
      <c r="H535" s="2487">
        <f>SUM(H536,H545)</f>
        <v>0</v>
      </c>
      <c r="I535" s="2487">
        <f>SUM(I536,I545)</f>
        <v>0</v>
      </c>
      <c r="J535" s="2488">
        <f>SUM(J536,J545)</f>
        <v>0</v>
      </c>
      <c r="K535" s="2482"/>
    </row>
    <row r="536" spans="1:226" s="2485" customFormat="1" ht="20.25" customHeight="1">
      <c r="A536" s="3140"/>
      <c r="B536" s="3149"/>
      <c r="C536" s="3146"/>
      <c r="D536" s="3146"/>
      <c r="E536" s="2497" t="s">
        <v>1093</v>
      </c>
      <c r="F536" s="2498">
        <f>SUM(F537:F544)</f>
        <v>12000</v>
      </c>
      <c r="G536" s="2498">
        <f>SUM(G537:G544)</f>
        <v>12000</v>
      </c>
      <c r="H536" s="2498">
        <f>SUM(H537:H544)</f>
        <v>0</v>
      </c>
      <c r="I536" s="2498">
        <f>SUM(I537:I544)</f>
        <v>0</v>
      </c>
      <c r="J536" s="2499">
        <f>SUM(J537:J544)</f>
        <v>0</v>
      </c>
      <c r="K536" s="2482"/>
    </row>
    <row r="537" spans="1:226" s="2485" customFormat="1" ht="14.1" customHeight="1">
      <c r="A537" s="3140"/>
      <c r="B537" s="3149"/>
      <c r="C537" s="3146"/>
      <c r="D537" s="3146"/>
      <c r="E537" s="2489" t="s">
        <v>591</v>
      </c>
      <c r="F537" s="2490">
        <f t="shared" ref="F537:F544" si="57">SUM(G537:J537)</f>
        <v>8512</v>
      </c>
      <c r="G537" s="2490">
        <v>8512</v>
      </c>
      <c r="H537" s="2490"/>
      <c r="I537" s="2490"/>
      <c r="J537" s="2491"/>
      <c r="K537" s="2495"/>
    </row>
    <row r="538" spans="1:226" s="2485" customFormat="1" ht="14.1" customHeight="1">
      <c r="A538" s="3140"/>
      <c r="B538" s="3149"/>
      <c r="C538" s="3146"/>
      <c r="D538" s="3146"/>
      <c r="E538" s="2489" t="s">
        <v>592</v>
      </c>
      <c r="F538" s="2490">
        <f t="shared" si="57"/>
        <v>1502</v>
      </c>
      <c r="G538" s="2490">
        <v>1502</v>
      </c>
      <c r="H538" s="2490"/>
      <c r="I538" s="2490"/>
      <c r="J538" s="2491"/>
      <c r="K538" s="2495"/>
    </row>
    <row r="539" spans="1:226" s="2485" customFormat="1" ht="14.1" customHeight="1">
      <c r="A539" s="3140"/>
      <c r="B539" s="3149"/>
      <c r="C539" s="3146"/>
      <c r="D539" s="3146"/>
      <c r="E539" s="2489" t="s">
        <v>595</v>
      </c>
      <c r="F539" s="2490">
        <f t="shared" si="57"/>
        <v>1480</v>
      </c>
      <c r="G539" s="2490">
        <v>1480</v>
      </c>
      <c r="H539" s="2490"/>
      <c r="I539" s="2490"/>
      <c r="J539" s="2491"/>
      <c r="K539" s="2495"/>
    </row>
    <row r="540" spans="1:226" s="2485" customFormat="1" ht="14.1" customHeight="1">
      <c r="A540" s="3140"/>
      <c r="B540" s="3149"/>
      <c r="C540" s="3146"/>
      <c r="D540" s="3146"/>
      <c r="E540" s="2489" t="s">
        <v>596</v>
      </c>
      <c r="F540" s="2490">
        <f t="shared" si="57"/>
        <v>261</v>
      </c>
      <c r="G540" s="2490">
        <v>261</v>
      </c>
      <c r="H540" s="2490"/>
      <c r="I540" s="2490"/>
      <c r="J540" s="2491"/>
      <c r="K540" s="2482"/>
    </row>
    <row r="541" spans="1:226" s="2485" customFormat="1" ht="14.1" customHeight="1">
      <c r="A541" s="3140"/>
      <c r="B541" s="3149"/>
      <c r="C541" s="3146"/>
      <c r="D541" s="3146"/>
      <c r="E541" s="2489" t="s">
        <v>597</v>
      </c>
      <c r="F541" s="2490">
        <f t="shared" si="57"/>
        <v>208</v>
      </c>
      <c r="G541" s="2490">
        <v>208</v>
      </c>
      <c r="H541" s="2490"/>
      <c r="I541" s="2490"/>
      <c r="J541" s="2491"/>
      <c r="K541" s="2482"/>
    </row>
    <row r="542" spans="1:226" s="2485" customFormat="1" ht="14.1" customHeight="1">
      <c r="A542" s="3140"/>
      <c r="B542" s="3149"/>
      <c r="C542" s="3146"/>
      <c r="D542" s="3146"/>
      <c r="E542" s="2489" t="s">
        <v>598</v>
      </c>
      <c r="F542" s="2490">
        <f t="shared" si="57"/>
        <v>37</v>
      </c>
      <c r="G542" s="2490">
        <v>37</v>
      </c>
      <c r="H542" s="2490"/>
      <c r="I542" s="2490"/>
      <c r="J542" s="2491"/>
      <c r="K542" s="2482"/>
    </row>
    <row r="543" spans="1:226" s="2485" customFormat="1" ht="15" hidden="1" customHeight="1">
      <c r="A543" s="3140"/>
      <c r="B543" s="3149"/>
      <c r="C543" s="3146"/>
      <c r="D543" s="3146"/>
      <c r="E543" s="2489" t="s">
        <v>599</v>
      </c>
      <c r="F543" s="2490">
        <f t="shared" si="57"/>
        <v>0</v>
      </c>
      <c r="G543" s="2490"/>
      <c r="H543" s="2490"/>
      <c r="I543" s="2490"/>
      <c r="J543" s="2491"/>
      <c r="K543" s="2482"/>
    </row>
    <row r="544" spans="1:226" s="2485" customFormat="1" ht="15" hidden="1" customHeight="1">
      <c r="A544" s="3140"/>
      <c r="B544" s="3149"/>
      <c r="C544" s="3146"/>
      <c r="D544" s="3146"/>
      <c r="E544" s="2489" t="s">
        <v>600</v>
      </c>
      <c r="F544" s="2490">
        <f t="shared" si="57"/>
        <v>0</v>
      </c>
      <c r="G544" s="2490"/>
      <c r="H544" s="2490"/>
      <c r="I544" s="2490"/>
      <c r="J544" s="2491"/>
      <c r="K544" s="2482"/>
    </row>
    <row r="545" spans="1:226" s="2485" customFormat="1" ht="19.5" customHeight="1">
      <c r="A545" s="3140"/>
      <c r="B545" s="3149"/>
      <c r="C545" s="3146"/>
      <c r="D545" s="3146"/>
      <c r="E545" s="2497" t="s">
        <v>1094</v>
      </c>
      <c r="F545" s="2498">
        <f>SUM(F546:F553)</f>
        <v>133721</v>
      </c>
      <c r="G545" s="2498">
        <f>SUM(G546:G553)</f>
        <v>133721</v>
      </c>
      <c r="H545" s="2498">
        <f>SUM(H546:H553)</f>
        <v>0</v>
      </c>
      <c r="I545" s="2498">
        <f>SUM(I546:I553)</f>
        <v>0</v>
      </c>
      <c r="J545" s="2499">
        <f>SUM(J546:J553)</f>
        <v>0</v>
      </c>
      <c r="K545" s="2495"/>
    </row>
    <row r="546" spans="1:226" s="2485" customFormat="1" ht="14.1" customHeight="1">
      <c r="A546" s="3140"/>
      <c r="B546" s="3149"/>
      <c r="C546" s="3146"/>
      <c r="D546" s="3146"/>
      <c r="E546" s="2524" t="s">
        <v>608</v>
      </c>
      <c r="F546" s="2490">
        <f>SUM(G546:J546)</f>
        <v>77113</v>
      </c>
      <c r="G546" s="2490">
        <v>77113</v>
      </c>
      <c r="H546" s="2490"/>
      <c r="I546" s="2490"/>
      <c r="J546" s="2491"/>
      <c r="K546" s="2495"/>
    </row>
    <row r="547" spans="1:226" s="2485" customFormat="1" ht="14.1" customHeight="1">
      <c r="A547" s="3140"/>
      <c r="B547" s="3149"/>
      <c r="C547" s="3146"/>
      <c r="D547" s="3146"/>
      <c r="E547" s="2524" t="s">
        <v>609</v>
      </c>
      <c r="F547" s="2490">
        <f t="shared" ref="F547:F548" si="58">SUM(G547:J547)</f>
        <v>13608</v>
      </c>
      <c r="G547" s="2490">
        <v>13608</v>
      </c>
      <c r="H547" s="2490"/>
      <c r="I547" s="2490"/>
      <c r="J547" s="2491"/>
      <c r="K547" s="2495"/>
    </row>
    <row r="548" spans="1:226" s="2485" customFormat="1" ht="14.1" customHeight="1">
      <c r="A548" s="3140"/>
      <c r="B548" s="3149"/>
      <c r="C548" s="3146"/>
      <c r="D548" s="3146"/>
      <c r="E548" s="2489" t="s">
        <v>728</v>
      </c>
      <c r="F548" s="2490">
        <f t="shared" si="58"/>
        <v>25500</v>
      </c>
      <c r="G548" s="2490">
        <v>25500</v>
      </c>
      <c r="H548" s="2490"/>
      <c r="I548" s="2490"/>
      <c r="J548" s="2491"/>
      <c r="K548" s="2495"/>
    </row>
    <row r="549" spans="1:226" s="2485" customFormat="1" ht="14.1" customHeight="1">
      <c r="A549" s="3140"/>
      <c r="B549" s="3149"/>
      <c r="C549" s="3146"/>
      <c r="D549" s="3146"/>
      <c r="E549" s="2489" t="s">
        <v>700</v>
      </c>
      <c r="F549" s="2490">
        <f>SUM(G549:J549)</f>
        <v>4500</v>
      </c>
      <c r="G549" s="2490">
        <v>4500</v>
      </c>
      <c r="H549" s="2490"/>
      <c r="I549" s="2490"/>
      <c r="J549" s="2491"/>
      <c r="K549" s="2495"/>
    </row>
    <row r="550" spans="1:226" s="2485" customFormat="1" ht="14.1" customHeight="1">
      <c r="A550" s="3140"/>
      <c r="B550" s="3149"/>
      <c r="C550" s="3146"/>
      <c r="D550" s="3146"/>
      <c r="E550" s="2489" t="s">
        <v>612</v>
      </c>
      <c r="F550" s="2490">
        <f t="shared" ref="F550:F553" si="59">SUM(G550:J550)</f>
        <v>2550</v>
      </c>
      <c r="G550" s="2490">
        <v>2550</v>
      </c>
      <c r="H550" s="2490"/>
      <c r="I550" s="2490"/>
      <c r="J550" s="2491"/>
      <c r="K550" s="2482"/>
    </row>
    <row r="551" spans="1:226" s="2485" customFormat="1" ht="14.1" customHeight="1">
      <c r="A551" s="3140"/>
      <c r="B551" s="3149"/>
      <c r="C551" s="3146"/>
      <c r="D551" s="3146"/>
      <c r="E551" s="2489" t="s">
        <v>613</v>
      </c>
      <c r="F551" s="2490">
        <f t="shared" si="59"/>
        <v>450</v>
      </c>
      <c r="G551" s="2490">
        <v>450</v>
      </c>
      <c r="H551" s="2490"/>
      <c r="I551" s="2490"/>
      <c r="J551" s="2491"/>
      <c r="K551" s="2482"/>
    </row>
    <row r="552" spans="1:226" s="2485" customFormat="1" ht="14.1" customHeight="1">
      <c r="A552" s="3140"/>
      <c r="B552" s="3149"/>
      <c r="C552" s="3146"/>
      <c r="D552" s="3146"/>
      <c r="E552" s="2489" t="s">
        <v>702</v>
      </c>
      <c r="F552" s="2490">
        <f t="shared" si="59"/>
        <v>8500</v>
      </c>
      <c r="G552" s="2490">
        <v>8500</v>
      </c>
      <c r="H552" s="2490"/>
      <c r="I552" s="2490"/>
      <c r="J552" s="2491"/>
      <c r="K552" s="2482"/>
    </row>
    <row r="553" spans="1:226" s="2485" customFormat="1" ht="14.1" customHeight="1">
      <c r="A553" s="3140"/>
      <c r="B553" s="3149"/>
      <c r="C553" s="3146"/>
      <c r="D553" s="3146"/>
      <c r="E553" s="2489" t="s">
        <v>703</v>
      </c>
      <c r="F553" s="2490">
        <f t="shared" si="59"/>
        <v>1500</v>
      </c>
      <c r="G553" s="2490">
        <v>1500</v>
      </c>
      <c r="H553" s="2490"/>
      <c r="I553" s="2490"/>
      <c r="J553" s="2491"/>
      <c r="K553" s="2482"/>
    </row>
    <row r="554" spans="1:226" s="2485" customFormat="1" ht="15" customHeight="1">
      <c r="A554" s="3141"/>
      <c r="B554" s="3150"/>
      <c r="C554" s="3118"/>
      <c r="D554" s="3118"/>
      <c r="E554" s="2492" t="s">
        <v>1087</v>
      </c>
      <c r="F554" s="2487">
        <f>SUM(F555:F556)</f>
        <v>0</v>
      </c>
      <c r="G554" s="2487">
        <f>SUM(G555:G556)</f>
        <v>0</v>
      </c>
      <c r="H554" s="2487">
        <f>SUM(H555:H556)</f>
        <v>0</v>
      </c>
      <c r="I554" s="2487">
        <f>SUM(I555:I556)</f>
        <v>0</v>
      </c>
      <c r="J554" s="2488">
        <f>SUM(J555:J556)</f>
        <v>0</v>
      </c>
      <c r="K554" s="2482"/>
    </row>
    <row r="555" spans="1:226" s="2485" customFormat="1" ht="15" hidden="1" customHeight="1">
      <c r="A555" s="2500"/>
      <c r="B555" s="2501"/>
      <c r="C555" s="2502"/>
      <c r="D555" s="2502"/>
      <c r="E555" s="2489" t="s">
        <v>691</v>
      </c>
      <c r="F555" s="2490">
        <f>SUM(G555:J555)</f>
        <v>0</v>
      </c>
      <c r="G555" s="2490"/>
      <c r="H555" s="2490"/>
      <c r="I555" s="2490"/>
      <c r="J555" s="2491"/>
      <c r="K555" s="2482"/>
    </row>
    <row r="556" spans="1:226" s="2485" customFormat="1" ht="15" hidden="1" customHeight="1">
      <c r="A556" s="2500"/>
      <c r="B556" s="2501"/>
      <c r="C556" s="2502"/>
      <c r="D556" s="2502"/>
      <c r="E556" s="2503">
        <v>6069</v>
      </c>
      <c r="F556" s="2490">
        <f>SUM(G556:J556)</f>
        <v>0</v>
      </c>
      <c r="G556" s="2490"/>
      <c r="H556" s="2490"/>
      <c r="I556" s="2490"/>
      <c r="J556" s="2491"/>
      <c r="K556" s="2482"/>
    </row>
    <row r="557" spans="1:226" s="2485" customFormat="1" ht="22.5">
      <c r="A557" s="3112" t="s">
        <v>1144</v>
      </c>
      <c r="B557" s="3113" t="s">
        <v>1145</v>
      </c>
      <c r="C557" s="3134" t="s">
        <v>731</v>
      </c>
      <c r="D557" s="3134" t="s">
        <v>759</v>
      </c>
      <c r="E557" s="2479" t="s">
        <v>1086</v>
      </c>
      <c r="F557" s="2480">
        <f>SUM(F558,F577)</f>
        <v>343418</v>
      </c>
      <c r="G557" s="2480">
        <f>SUM(G558,G577)</f>
        <v>343418</v>
      </c>
      <c r="H557" s="2480">
        <f>SUM(H558,H577)</f>
        <v>0</v>
      </c>
      <c r="I557" s="2480">
        <f>SUM(I558,I577)</f>
        <v>0</v>
      </c>
      <c r="J557" s="2481">
        <f>SUM(J558,J577)</f>
        <v>0</v>
      </c>
      <c r="K557" s="2482"/>
      <c r="L557" s="2484"/>
      <c r="M557" s="2484"/>
      <c r="N557" s="2484"/>
      <c r="O557" s="2484"/>
      <c r="P557" s="2484"/>
      <c r="Q557" s="2484"/>
      <c r="R557" s="2484"/>
      <c r="S557" s="2484"/>
      <c r="T557" s="2484"/>
      <c r="U557" s="2484"/>
      <c r="V557" s="2484"/>
      <c r="W557" s="2484"/>
      <c r="X557" s="2484"/>
      <c r="Y557" s="2484"/>
      <c r="Z557" s="2484"/>
      <c r="AA557" s="2484"/>
      <c r="AB557" s="2484"/>
      <c r="AC557" s="2484"/>
      <c r="AD557" s="2484"/>
      <c r="AE557" s="2484"/>
      <c r="AF557" s="2484"/>
      <c r="AG557" s="2484"/>
      <c r="AH557" s="2484"/>
      <c r="AI557" s="2484"/>
      <c r="AJ557" s="2484"/>
      <c r="AK557" s="2484"/>
      <c r="AL557" s="2484"/>
      <c r="AM557" s="2484"/>
      <c r="AN557" s="2484"/>
      <c r="AO557" s="2484"/>
      <c r="AP557" s="2484"/>
      <c r="AQ557" s="2484"/>
      <c r="AR557" s="2484"/>
      <c r="AS557" s="2484"/>
      <c r="AT557" s="2484"/>
      <c r="AU557" s="2484"/>
      <c r="AV557" s="2484"/>
      <c r="AW557" s="2484"/>
      <c r="AX557" s="2484"/>
      <c r="AY557" s="2484"/>
      <c r="AZ557" s="2484"/>
      <c r="BA557" s="2484"/>
      <c r="BB557" s="2484"/>
      <c r="BC557" s="2484"/>
      <c r="BD557" s="2484"/>
      <c r="BE557" s="2484"/>
      <c r="BF557" s="2484"/>
      <c r="BG557" s="2484"/>
      <c r="BH557" s="2484"/>
      <c r="BI557" s="2484"/>
      <c r="BJ557" s="2484"/>
      <c r="BK557" s="2484"/>
      <c r="BL557" s="2484"/>
      <c r="BM557" s="2484"/>
      <c r="BN557" s="2484"/>
      <c r="BO557" s="2484"/>
      <c r="BP557" s="2484"/>
      <c r="BQ557" s="2484"/>
      <c r="BR557" s="2484"/>
      <c r="BS557" s="2484"/>
      <c r="BT557" s="2484"/>
      <c r="BU557" s="2484"/>
      <c r="BV557" s="2484"/>
      <c r="BW557" s="2484"/>
      <c r="BX557" s="2484"/>
      <c r="BY557" s="2484"/>
      <c r="BZ557" s="2484"/>
      <c r="CA557" s="2484"/>
      <c r="CB557" s="2484"/>
      <c r="CC557" s="2484"/>
      <c r="CD557" s="2484"/>
      <c r="CE557" s="2484"/>
      <c r="CF557" s="2484"/>
      <c r="CG557" s="2484"/>
      <c r="CH557" s="2484"/>
      <c r="CI557" s="2484"/>
      <c r="CJ557" s="2484"/>
      <c r="CK557" s="2484"/>
      <c r="CL557" s="2484"/>
      <c r="CM557" s="2484"/>
      <c r="CN557" s="2484"/>
      <c r="CO557" s="2484"/>
      <c r="CP557" s="2484"/>
      <c r="CQ557" s="2484"/>
      <c r="CR557" s="2484"/>
      <c r="CS557" s="2484"/>
      <c r="CT557" s="2484"/>
      <c r="CU557" s="2484"/>
      <c r="CV557" s="2484"/>
      <c r="CW557" s="2484"/>
      <c r="CX557" s="2484"/>
      <c r="CY557" s="2484"/>
      <c r="CZ557" s="2484"/>
      <c r="DA557" s="2484"/>
      <c r="DB557" s="2484"/>
      <c r="DC557" s="2484"/>
      <c r="DD557" s="2484"/>
      <c r="DE557" s="2484"/>
      <c r="DF557" s="2484"/>
      <c r="DG557" s="2484"/>
      <c r="DH557" s="2484"/>
      <c r="DI557" s="2484"/>
      <c r="DJ557" s="2484"/>
      <c r="DK557" s="2484"/>
      <c r="DL557" s="2484"/>
      <c r="DM557" s="2484"/>
      <c r="DN557" s="2484"/>
      <c r="DO557" s="2484"/>
      <c r="DP557" s="2484"/>
      <c r="DQ557" s="2484"/>
      <c r="DR557" s="2484"/>
      <c r="DS557" s="2484"/>
      <c r="DT557" s="2484"/>
      <c r="DU557" s="2484"/>
      <c r="DV557" s="2484"/>
      <c r="DW557" s="2484"/>
      <c r="DX557" s="2484"/>
      <c r="DY557" s="2484"/>
      <c r="DZ557" s="2484"/>
      <c r="EA557" s="2484"/>
      <c r="EB557" s="2484"/>
      <c r="EC557" s="2484"/>
      <c r="ED557" s="2484"/>
      <c r="EE557" s="2484"/>
      <c r="EF557" s="2484"/>
      <c r="EG557" s="2484"/>
      <c r="EH557" s="2484"/>
      <c r="EI557" s="2484"/>
      <c r="EJ557" s="2484"/>
      <c r="EK557" s="2484"/>
      <c r="EL557" s="2484"/>
      <c r="EM557" s="2484"/>
      <c r="EN557" s="2484"/>
      <c r="EO557" s="2484"/>
      <c r="EP557" s="2484"/>
      <c r="EQ557" s="2484"/>
      <c r="ER557" s="2484"/>
      <c r="ES557" s="2484"/>
      <c r="ET557" s="2484"/>
      <c r="EU557" s="2484"/>
      <c r="EV557" s="2484"/>
      <c r="EW557" s="2484"/>
      <c r="EX557" s="2484"/>
      <c r="EY557" s="2484"/>
      <c r="EZ557" s="2484"/>
      <c r="FA557" s="2484"/>
      <c r="FB557" s="2484"/>
      <c r="FC557" s="2484"/>
      <c r="FD557" s="2484"/>
      <c r="FE557" s="2484"/>
      <c r="FF557" s="2484"/>
      <c r="FG557" s="2484"/>
      <c r="FH557" s="2484"/>
      <c r="FI557" s="2484"/>
      <c r="FJ557" s="2484"/>
      <c r="FK557" s="2484"/>
      <c r="FL557" s="2484"/>
      <c r="FM557" s="2484"/>
      <c r="FN557" s="2484"/>
      <c r="FO557" s="2484"/>
      <c r="FP557" s="2484"/>
      <c r="FQ557" s="2484"/>
      <c r="FR557" s="2484"/>
      <c r="FS557" s="2484"/>
      <c r="FT557" s="2484"/>
      <c r="FU557" s="2484"/>
      <c r="FV557" s="2484"/>
      <c r="FW557" s="2484"/>
      <c r="FX557" s="2484"/>
      <c r="FY557" s="2484"/>
      <c r="FZ557" s="2484"/>
      <c r="GA557" s="2484"/>
      <c r="GB557" s="2484"/>
      <c r="GC557" s="2484"/>
      <c r="GD557" s="2484"/>
      <c r="GE557" s="2484"/>
      <c r="GF557" s="2484"/>
      <c r="GG557" s="2484"/>
      <c r="GH557" s="2484"/>
      <c r="GI557" s="2484"/>
      <c r="GJ557" s="2484"/>
      <c r="GK557" s="2484"/>
      <c r="GL557" s="2484"/>
      <c r="GM557" s="2484"/>
      <c r="GN557" s="2484"/>
      <c r="GO557" s="2484"/>
      <c r="GP557" s="2484"/>
      <c r="GQ557" s="2484"/>
      <c r="GR557" s="2484"/>
      <c r="GS557" s="2484"/>
      <c r="GT557" s="2484"/>
      <c r="GU557" s="2484"/>
      <c r="GV557" s="2484"/>
      <c r="GW557" s="2484"/>
      <c r="GX557" s="2484"/>
      <c r="GY557" s="2484"/>
      <c r="GZ557" s="2484"/>
      <c r="HA557" s="2484"/>
      <c r="HB557" s="2484"/>
      <c r="HC557" s="2484"/>
      <c r="HD557" s="2484"/>
      <c r="HE557" s="2484"/>
      <c r="HF557" s="2484"/>
      <c r="HG557" s="2484"/>
      <c r="HH557" s="2484"/>
      <c r="HI557" s="2484"/>
      <c r="HJ557" s="2484"/>
      <c r="HK557" s="2484"/>
      <c r="HL557" s="2484"/>
      <c r="HM557" s="2484"/>
      <c r="HN557" s="2484"/>
      <c r="HO557" s="2484"/>
      <c r="HP557" s="2484"/>
      <c r="HQ557" s="2484"/>
      <c r="HR557" s="2484"/>
    </row>
    <row r="558" spans="1:226" s="2485" customFormat="1" ht="21">
      <c r="A558" s="3112"/>
      <c r="B558" s="3113"/>
      <c r="C558" s="3134"/>
      <c r="D558" s="3134"/>
      <c r="E558" s="2486" t="s">
        <v>1092</v>
      </c>
      <c r="F558" s="2487">
        <f>SUM(F559,F568)</f>
        <v>343418</v>
      </c>
      <c r="G558" s="2487">
        <f>SUM(G559,G568)</f>
        <v>343418</v>
      </c>
      <c r="H558" s="2487">
        <f>SUM(H559,H568)</f>
        <v>0</v>
      </c>
      <c r="I558" s="2487">
        <f>SUM(I559,I568)</f>
        <v>0</v>
      </c>
      <c r="J558" s="2488">
        <f>SUM(J559,J568)</f>
        <v>0</v>
      </c>
      <c r="K558" s="2482"/>
    </row>
    <row r="559" spans="1:226" s="2485" customFormat="1" ht="22.5">
      <c r="A559" s="3112"/>
      <c r="B559" s="3113"/>
      <c r="C559" s="3134"/>
      <c r="D559" s="3134"/>
      <c r="E559" s="2497" t="s">
        <v>1093</v>
      </c>
      <c r="F559" s="2498">
        <f>SUM(F560:F567)</f>
        <v>54214</v>
      </c>
      <c r="G559" s="2498">
        <f>SUM(G560:G567)</f>
        <v>54214</v>
      </c>
      <c r="H559" s="2498">
        <f>SUM(H560:H567)</f>
        <v>0</v>
      </c>
      <c r="I559" s="2498">
        <f>SUM(I560:I567)</f>
        <v>0</v>
      </c>
      <c r="J559" s="2499">
        <f>SUM(J560:J567)</f>
        <v>0</v>
      </c>
      <c r="K559" s="2482"/>
    </row>
    <row r="560" spans="1:226" s="2485" customFormat="1" ht="15" customHeight="1">
      <c r="A560" s="3112"/>
      <c r="B560" s="3113"/>
      <c r="C560" s="3134"/>
      <c r="D560" s="3134"/>
      <c r="E560" s="2489" t="s">
        <v>591</v>
      </c>
      <c r="F560" s="2490">
        <f t="shared" ref="F560:F567" si="60">SUM(G560:J560)</f>
        <v>38456</v>
      </c>
      <c r="G560" s="2490">
        <v>38456</v>
      </c>
      <c r="H560" s="2490"/>
      <c r="I560" s="2490"/>
      <c r="J560" s="2491"/>
      <c r="K560" s="2495"/>
    </row>
    <row r="561" spans="1:11" s="2485" customFormat="1" ht="15" customHeight="1">
      <c r="A561" s="3112"/>
      <c r="B561" s="3113"/>
      <c r="C561" s="3134"/>
      <c r="D561" s="3134"/>
      <c r="E561" s="2489" t="s">
        <v>592</v>
      </c>
      <c r="F561" s="2490">
        <f t="shared" si="60"/>
        <v>6786</v>
      </c>
      <c r="G561" s="2490">
        <v>6786</v>
      </c>
      <c r="H561" s="2490"/>
      <c r="I561" s="2490"/>
      <c r="J561" s="2491"/>
      <c r="K561" s="2495"/>
    </row>
    <row r="562" spans="1:11" s="2485" customFormat="1" ht="15" customHeight="1">
      <c r="A562" s="3112"/>
      <c r="B562" s="3113"/>
      <c r="C562" s="3134"/>
      <c r="D562" s="3134"/>
      <c r="E562" s="2489" t="s">
        <v>595</v>
      </c>
      <c r="F562" s="2490">
        <f t="shared" si="60"/>
        <v>6684</v>
      </c>
      <c r="G562" s="2490">
        <v>6684</v>
      </c>
      <c r="H562" s="2490"/>
      <c r="I562" s="2490"/>
      <c r="J562" s="2491"/>
      <c r="K562" s="2495"/>
    </row>
    <row r="563" spans="1:11" s="2485" customFormat="1" ht="15" customHeight="1">
      <c r="A563" s="3112"/>
      <c r="B563" s="3113"/>
      <c r="C563" s="3134"/>
      <c r="D563" s="3134"/>
      <c r="E563" s="2489" t="s">
        <v>596</v>
      </c>
      <c r="F563" s="2490">
        <f t="shared" si="60"/>
        <v>1179</v>
      </c>
      <c r="G563" s="2490">
        <v>1179</v>
      </c>
      <c r="H563" s="2490"/>
      <c r="I563" s="2490"/>
      <c r="J563" s="2491"/>
      <c r="K563" s="2482"/>
    </row>
    <row r="564" spans="1:11" s="2485" customFormat="1" ht="15" customHeight="1">
      <c r="A564" s="3112"/>
      <c r="B564" s="3113"/>
      <c r="C564" s="3134"/>
      <c r="D564" s="3134"/>
      <c r="E564" s="2489" t="s">
        <v>597</v>
      </c>
      <c r="F564" s="2490">
        <f t="shared" si="60"/>
        <v>942</v>
      </c>
      <c r="G564" s="2490">
        <v>942</v>
      </c>
      <c r="H564" s="2490"/>
      <c r="I564" s="2490"/>
      <c r="J564" s="2491"/>
      <c r="K564" s="2482"/>
    </row>
    <row r="565" spans="1:11" s="2485" customFormat="1" ht="15" customHeight="1">
      <c r="A565" s="3112"/>
      <c r="B565" s="3113"/>
      <c r="C565" s="3134"/>
      <c r="D565" s="3134"/>
      <c r="E565" s="2489" t="s">
        <v>598</v>
      </c>
      <c r="F565" s="2490">
        <f t="shared" si="60"/>
        <v>167</v>
      </c>
      <c r="G565" s="2490">
        <v>167</v>
      </c>
      <c r="H565" s="2490"/>
      <c r="I565" s="2490"/>
      <c r="J565" s="2491"/>
      <c r="K565" s="2482"/>
    </row>
    <row r="566" spans="1:11" s="2485" customFormat="1" ht="15" hidden="1" customHeight="1">
      <c r="A566" s="3112"/>
      <c r="B566" s="3113"/>
      <c r="C566" s="3134"/>
      <c r="D566" s="3134"/>
      <c r="E566" s="2489" t="s">
        <v>599</v>
      </c>
      <c r="F566" s="2490">
        <f t="shared" si="60"/>
        <v>0</v>
      </c>
      <c r="G566" s="2490"/>
      <c r="H566" s="2490"/>
      <c r="I566" s="2490"/>
      <c r="J566" s="2491"/>
      <c r="K566" s="2482"/>
    </row>
    <row r="567" spans="1:11" s="2485" customFormat="1" ht="15" hidden="1" customHeight="1">
      <c r="A567" s="3112"/>
      <c r="B567" s="3113"/>
      <c r="C567" s="3134"/>
      <c r="D567" s="3134"/>
      <c r="E567" s="2489" t="s">
        <v>600</v>
      </c>
      <c r="F567" s="2490">
        <f t="shared" si="60"/>
        <v>0</v>
      </c>
      <c r="G567" s="2490"/>
      <c r="H567" s="2490"/>
      <c r="I567" s="2490"/>
      <c r="J567" s="2491"/>
      <c r="K567" s="2482"/>
    </row>
    <row r="568" spans="1:11" s="2485" customFormat="1" ht="22.5">
      <c r="A568" s="3112"/>
      <c r="B568" s="3113"/>
      <c r="C568" s="3134"/>
      <c r="D568" s="3134"/>
      <c r="E568" s="2497" t="s">
        <v>1094</v>
      </c>
      <c r="F568" s="2498">
        <f>SUM(F569:F576)</f>
        <v>289204</v>
      </c>
      <c r="G568" s="2498">
        <f>SUM(G569:G576)</f>
        <v>289204</v>
      </c>
      <c r="H568" s="2498">
        <f>SUM(H569:H576)</f>
        <v>0</v>
      </c>
      <c r="I568" s="2498">
        <f>SUM(I569:I576)</f>
        <v>0</v>
      </c>
      <c r="J568" s="2499">
        <f>SUM(J569:J576)</f>
        <v>0</v>
      </c>
      <c r="K568" s="2495"/>
    </row>
    <row r="569" spans="1:11" s="2485" customFormat="1" ht="15" customHeight="1">
      <c r="A569" s="3112"/>
      <c r="B569" s="3113"/>
      <c r="C569" s="3134"/>
      <c r="D569" s="3134"/>
      <c r="E569" s="2524" t="s">
        <v>604</v>
      </c>
      <c r="F569" s="2490">
        <f>SUM(G569:J569)</f>
        <v>199173</v>
      </c>
      <c r="G569" s="2490">
        <v>199173</v>
      </c>
      <c r="H569" s="2490"/>
      <c r="I569" s="2490"/>
      <c r="J569" s="2491"/>
      <c r="K569" s="2495"/>
    </row>
    <row r="570" spans="1:11" s="2485" customFormat="1" ht="15" customHeight="1">
      <c r="A570" s="3112"/>
      <c r="B570" s="3113"/>
      <c r="C570" s="3134"/>
      <c r="D570" s="3134"/>
      <c r="E570" s="2524" t="s">
        <v>605</v>
      </c>
      <c r="F570" s="2490">
        <f t="shared" ref="F570:F571" si="61">SUM(G570:J570)</f>
        <v>35148</v>
      </c>
      <c r="G570" s="2490">
        <v>35148</v>
      </c>
      <c r="H570" s="2490"/>
      <c r="I570" s="2490"/>
      <c r="J570" s="2491"/>
      <c r="K570" s="2495"/>
    </row>
    <row r="571" spans="1:11" s="2485" customFormat="1" ht="15" customHeight="1">
      <c r="A571" s="3112"/>
      <c r="B571" s="3113"/>
      <c r="C571" s="3134"/>
      <c r="D571" s="3134"/>
      <c r="E571" s="2489" t="s">
        <v>608</v>
      </c>
      <c r="F571" s="2490">
        <f t="shared" si="61"/>
        <v>45970</v>
      </c>
      <c r="G571" s="2490">
        <v>45970</v>
      </c>
      <c r="H571" s="2490"/>
      <c r="I571" s="2490"/>
      <c r="J571" s="2491"/>
      <c r="K571" s="2495"/>
    </row>
    <row r="572" spans="1:11" s="2485" customFormat="1" ht="15" customHeight="1">
      <c r="A572" s="3112"/>
      <c r="B572" s="3113"/>
      <c r="C572" s="3134"/>
      <c r="D572" s="3134"/>
      <c r="E572" s="2489" t="s">
        <v>609</v>
      </c>
      <c r="F572" s="2490">
        <f>SUM(G572:J572)</f>
        <v>8113</v>
      </c>
      <c r="G572" s="2490">
        <v>8113</v>
      </c>
      <c r="H572" s="2490"/>
      <c r="I572" s="2490"/>
      <c r="J572" s="2491"/>
      <c r="K572" s="2495"/>
    </row>
    <row r="573" spans="1:11" s="2485" customFormat="1" ht="15" hidden="1" customHeight="1">
      <c r="A573" s="3112"/>
      <c r="B573" s="3113"/>
      <c r="C573" s="3134"/>
      <c r="D573" s="3134"/>
      <c r="E573" s="2489" t="s">
        <v>612</v>
      </c>
      <c r="F573" s="2490">
        <f t="shared" ref="F573:F576" si="62">SUM(G573:J573)</f>
        <v>0</v>
      </c>
      <c r="G573" s="2490"/>
      <c r="H573" s="2490"/>
      <c r="I573" s="2490"/>
      <c r="J573" s="2491"/>
      <c r="K573" s="2482"/>
    </row>
    <row r="574" spans="1:11" s="2485" customFormat="1" ht="15" hidden="1" customHeight="1">
      <c r="A574" s="3112"/>
      <c r="B574" s="3113"/>
      <c r="C574" s="3134"/>
      <c r="D574" s="3134"/>
      <c r="E574" s="2489" t="s">
        <v>613</v>
      </c>
      <c r="F574" s="2490">
        <f t="shared" si="62"/>
        <v>0</v>
      </c>
      <c r="G574" s="2490"/>
      <c r="H574" s="2490"/>
      <c r="I574" s="2490"/>
      <c r="J574" s="2491"/>
      <c r="K574" s="2482"/>
    </row>
    <row r="575" spans="1:11" s="2485" customFormat="1" ht="15" customHeight="1">
      <c r="A575" s="3112"/>
      <c r="B575" s="3113"/>
      <c r="C575" s="3134"/>
      <c r="D575" s="3134"/>
      <c r="E575" s="2489" t="s">
        <v>702</v>
      </c>
      <c r="F575" s="2490">
        <f t="shared" si="62"/>
        <v>680</v>
      </c>
      <c r="G575" s="2490">
        <v>680</v>
      </c>
      <c r="H575" s="2490"/>
      <c r="I575" s="2490"/>
      <c r="J575" s="2491"/>
      <c r="K575" s="2482"/>
    </row>
    <row r="576" spans="1:11" s="2485" customFormat="1" ht="15" customHeight="1">
      <c r="A576" s="3112"/>
      <c r="B576" s="3113"/>
      <c r="C576" s="3134"/>
      <c r="D576" s="3134"/>
      <c r="E576" s="2489" t="s">
        <v>703</v>
      </c>
      <c r="F576" s="2490">
        <f t="shared" si="62"/>
        <v>120</v>
      </c>
      <c r="G576" s="2490">
        <v>120</v>
      </c>
      <c r="H576" s="2490"/>
      <c r="I576" s="2490"/>
      <c r="J576" s="2491"/>
      <c r="K576" s="2482"/>
    </row>
    <row r="577" spans="1:226" s="2485" customFormat="1" ht="15" customHeight="1">
      <c r="A577" s="3112"/>
      <c r="B577" s="3113"/>
      <c r="C577" s="3134"/>
      <c r="D577" s="3134"/>
      <c r="E577" s="2492" t="s">
        <v>1087</v>
      </c>
      <c r="F577" s="2487">
        <f>SUM(F578:F579)</f>
        <v>0</v>
      </c>
      <c r="G577" s="2487">
        <f>SUM(G578:G579)</f>
        <v>0</v>
      </c>
      <c r="H577" s="2487">
        <f>SUM(H578:H579)</f>
        <v>0</v>
      </c>
      <c r="I577" s="2487">
        <f>SUM(I578:I579)</f>
        <v>0</v>
      </c>
      <c r="J577" s="2488">
        <f>SUM(J578:J579)</f>
        <v>0</v>
      </c>
      <c r="K577" s="2482"/>
    </row>
    <row r="578" spans="1:226" s="2485" customFormat="1" ht="15" hidden="1" customHeight="1">
      <c r="A578" s="3112"/>
      <c r="B578" s="3113"/>
      <c r="C578" s="3134"/>
      <c r="D578" s="3134"/>
      <c r="E578" s="2489" t="s">
        <v>691</v>
      </c>
      <c r="F578" s="2490">
        <f>SUM(G578:J578)</f>
        <v>0</v>
      </c>
      <c r="G578" s="2490"/>
      <c r="H578" s="2490"/>
      <c r="I578" s="2490"/>
      <c r="J578" s="2491"/>
      <c r="K578" s="2482"/>
    </row>
    <row r="579" spans="1:226" s="2485" customFormat="1" ht="15" hidden="1" customHeight="1">
      <c r="A579" s="3112"/>
      <c r="B579" s="3113"/>
      <c r="C579" s="3134"/>
      <c r="D579" s="3134"/>
      <c r="E579" s="2503">
        <v>6069</v>
      </c>
      <c r="F579" s="2490">
        <f>SUM(G579:J579)</f>
        <v>0</v>
      </c>
      <c r="G579" s="2490"/>
      <c r="H579" s="2490"/>
      <c r="I579" s="2490"/>
      <c r="J579" s="2491"/>
      <c r="K579" s="2482"/>
    </row>
    <row r="580" spans="1:226" s="2485" customFormat="1" ht="15" hidden="1" customHeight="1">
      <c r="A580" s="3155" t="s">
        <v>1146</v>
      </c>
      <c r="B580" s="3158" t="s">
        <v>1147</v>
      </c>
      <c r="C580" s="3161" t="s">
        <v>731</v>
      </c>
      <c r="D580" s="3161" t="s">
        <v>767</v>
      </c>
      <c r="E580" s="2512" t="s">
        <v>1086</v>
      </c>
      <c r="F580" s="2513">
        <f>SUM(F581,F601)</f>
        <v>0</v>
      </c>
      <c r="G580" s="2513">
        <f>SUM(G581,G601)</f>
        <v>0</v>
      </c>
      <c r="H580" s="2513">
        <f>SUM(H581,H601)</f>
        <v>0</v>
      </c>
      <c r="I580" s="2513">
        <f>SUM(I581,I601)</f>
        <v>0</v>
      </c>
      <c r="J580" s="2514">
        <f>SUM(J581,J601)</f>
        <v>0</v>
      </c>
      <c r="K580" s="2482"/>
      <c r="L580" s="2484"/>
      <c r="M580" s="2484"/>
      <c r="N580" s="2484"/>
      <c r="O580" s="2484"/>
      <c r="P580" s="2484"/>
      <c r="Q580" s="2484"/>
      <c r="R580" s="2484"/>
      <c r="S580" s="2484"/>
      <c r="T580" s="2484"/>
      <c r="U580" s="2484"/>
      <c r="V580" s="2484"/>
      <c r="W580" s="2484"/>
      <c r="X580" s="2484"/>
      <c r="Y580" s="2484"/>
      <c r="Z580" s="2484"/>
      <c r="AA580" s="2484"/>
      <c r="AB580" s="2484"/>
      <c r="AC580" s="2484"/>
      <c r="AD580" s="2484"/>
      <c r="AE580" s="2484"/>
      <c r="AF580" s="2484"/>
      <c r="AG580" s="2484"/>
      <c r="AH580" s="2484"/>
      <c r="AI580" s="2484"/>
      <c r="AJ580" s="2484"/>
      <c r="AK580" s="2484"/>
      <c r="AL580" s="2484"/>
      <c r="AM580" s="2484"/>
      <c r="AN580" s="2484"/>
      <c r="AO580" s="2484"/>
      <c r="AP580" s="2484"/>
      <c r="AQ580" s="2484"/>
      <c r="AR580" s="2484"/>
      <c r="AS580" s="2484"/>
      <c r="AT580" s="2484"/>
      <c r="AU580" s="2484"/>
      <c r="AV580" s="2484"/>
      <c r="AW580" s="2484"/>
      <c r="AX580" s="2484"/>
      <c r="AY580" s="2484"/>
      <c r="AZ580" s="2484"/>
      <c r="BA580" s="2484"/>
      <c r="BB580" s="2484"/>
      <c r="BC580" s="2484"/>
      <c r="BD580" s="2484"/>
      <c r="BE580" s="2484"/>
      <c r="BF580" s="2484"/>
      <c r="BG580" s="2484"/>
      <c r="BH580" s="2484"/>
      <c r="BI580" s="2484"/>
      <c r="BJ580" s="2484"/>
      <c r="BK580" s="2484"/>
      <c r="BL580" s="2484"/>
      <c r="BM580" s="2484"/>
      <c r="BN580" s="2484"/>
      <c r="BO580" s="2484"/>
      <c r="BP580" s="2484"/>
      <c r="BQ580" s="2484"/>
      <c r="BR580" s="2484"/>
      <c r="BS580" s="2484"/>
      <c r="BT580" s="2484"/>
      <c r="BU580" s="2484"/>
      <c r="BV580" s="2484"/>
      <c r="BW580" s="2484"/>
      <c r="BX580" s="2484"/>
      <c r="BY580" s="2484"/>
      <c r="BZ580" s="2484"/>
      <c r="CA580" s="2484"/>
      <c r="CB580" s="2484"/>
      <c r="CC580" s="2484"/>
      <c r="CD580" s="2484"/>
      <c r="CE580" s="2484"/>
      <c r="CF580" s="2484"/>
      <c r="CG580" s="2484"/>
      <c r="CH580" s="2484"/>
      <c r="CI580" s="2484"/>
      <c r="CJ580" s="2484"/>
      <c r="CK580" s="2484"/>
      <c r="CL580" s="2484"/>
      <c r="CM580" s="2484"/>
      <c r="CN580" s="2484"/>
      <c r="CO580" s="2484"/>
      <c r="CP580" s="2484"/>
      <c r="CQ580" s="2484"/>
      <c r="CR580" s="2484"/>
      <c r="CS580" s="2484"/>
      <c r="CT580" s="2484"/>
      <c r="CU580" s="2484"/>
      <c r="CV580" s="2484"/>
      <c r="CW580" s="2484"/>
      <c r="CX580" s="2484"/>
      <c r="CY580" s="2484"/>
      <c r="CZ580" s="2484"/>
      <c r="DA580" s="2484"/>
      <c r="DB580" s="2484"/>
      <c r="DC580" s="2484"/>
      <c r="DD580" s="2484"/>
      <c r="DE580" s="2484"/>
      <c r="DF580" s="2484"/>
      <c r="DG580" s="2484"/>
      <c r="DH580" s="2484"/>
      <c r="DI580" s="2484"/>
      <c r="DJ580" s="2484"/>
      <c r="DK580" s="2484"/>
      <c r="DL580" s="2484"/>
      <c r="DM580" s="2484"/>
      <c r="DN580" s="2484"/>
      <c r="DO580" s="2484"/>
      <c r="DP580" s="2484"/>
      <c r="DQ580" s="2484"/>
      <c r="DR580" s="2484"/>
      <c r="DS580" s="2484"/>
      <c r="DT580" s="2484"/>
      <c r="DU580" s="2484"/>
      <c r="DV580" s="2484"/>
      <c r="DW580" s="2484"/>
      <c r="DX580" s="2484"/>
      <c r="DY580" s="2484"/>
      <c r="DZ580" s="2484"/>
      <c r="EA580" s="2484"/>
      <c r="EB580" s="2484"/>
      <c r="EC580" s="2484"/>
      <c r="ED580" s="2484"/>
      <c r="EE580" s="2484"/>
      <c r="EF580" s="2484"/>
      <c r="EG580" s="2484"/>
      <c r="EH580" s="2484"/>
      <c r="EI580" s="2484"/>
      <c r="EJ580" s="2484"/>
      <c r="EK580" s="2484"/>
      <c r="EL580" s="2484"/>
      <c r="EM580" s="2484"/>
      <c r="EN580" s="2484"/>
      <c r="EO580" s="2484"/>
      <c r="EP580" s="2484"/>
      <c r="EQ580" s="2484"/>
      <c r="ER580" s="2484"/>
      <c r="ES580" s="2484"/>
      <c r="ET580" s="2484"/>
      <c r="EU580" s="2484"/>
      <c r="EV580" s="2484"/>
      <c r="EW580" s="2484"/>
      <c r="EX580" s="2484"/>
      <c r="EY580" s="2484"/>
      <c r="EZ580" s="2484"/>
      <c r="FA580" s="2484"/>
      <c r="FB580" s="2484"/>
      <c r="FC580" s="2484"/>
      <c r="FD580" s="2484"/>
      <c r="FE580" s="2484"/>
      <c r="FF580" s="2484"/>
      <c r="FG580" s="2484"/>
      <c r="FH580" s="2484"/>
      <c r="FI580" s="2484"/>
      <c r="FJ580" s="2484"/>
      <c r="FK580" s="2484"/>
      <c r="FL580" s="2484"/>
      <c r="FM580" s="2484"/>
      <c r="FN580" s="2484"/>
      <c r="FO580" s="2484"/>
      <c r="FP580" s="2484"/>
      <c r="FQ580" s="2484"/>
      <c r="FR580" s="2484"/>
      <c r="FS580" s="2484"/>
      <c r="FT580" s="2484"/>
      <c r="FU580" s="2484"/>
      <c r="FV580" s="2484"/>
      <c r="FW580" s="2484"/>
      <c r="FX580" s="2484"/>
      <c r="FY580" s="2484"/>
      <c r="FZ580" s="2484"/>
      <c r="GA580" s="2484"/>
      <c r="GB580" s="2484"/>
      <c r="GC580" s="2484"/>
      <c r="GD580" s="2484"/>
      <c r="GE580" s="2484"/>
      <c r="GF580" s="2484"/>
      <c r="GG580" s="2484"/>
      <c r="GH580" s="2484"/>
      <c r="GI580" s="2484"/>
      <c r="GJ580" s="2484"/>
      <c r="GK580" s="2484"/>
      <c r="GL580" s="2484"/>
      <c r="GM580" s="2484"/>
      <c r="GN580" s="2484"/>
      <c r="GO580" s="2484"/>
      <c r="GP580" s="2484"/>
      <c r="GQ580" s="2484"/>
      <c r="GR580" s="2484"/>
      <c r="GS580" s="2484"/>
      <c r="GT580" s="2484"/>
      <c r="GU580" s="2484"/>
      <c r="GV580" s="2484"/>
      <c r="GW580" s="2484"/>
      <c r="GX580" s="2484"/>
      <c r="GY580" s="2484"/>
      <c r="GZ580" s="2484"/>
      <c r="HA580" s="2484"/>
      <c r="HB580" s="2484"/>
      <c r="HC580" s="2484"/>
      <c r="HD580" s="2484"/>
      <c r="HE580" s="2484"/>
      <c r="HF580" s="2484"/>
      <c r="HG580" s="2484"/>
      <c r="HH580" s="2484"/>
      <c r="HI580" s="2484"/>
      <c r="HJ580" s="2484"/>
      <c r="HK580" s="2484"/>
      <c r="HL580" s="2484"/>
      <c r="HM580" s="2484"/>
      <c r="HN580" s="2484"/>
      <c r="HO580" s="2484"/>
      <c r="HP580" s="2484"/>
      <c r="HQ580" s="2484"/>
      <c r="HR580" s="2484"/>
    </row>
    <row r="581" spans="1:226" s="2485" customFormat="1" ht="15" hidden="1" customHeight="1">
      <c r="A581" s="3156"/>
      <c r="B581" s="3159"/>
      <c r="C581" s="3162"/>
      <c r="D581" s="3162"/>
      <c r="E581" s="2515" t="s">
        <v>1092</v>
      </c>
      <c r="F581" s="2516">
        <f>SUM(F582,F589)</f>
        <v>0</v>
      </c>
      <c r="G581" s="2516">
        <f>SUM(G582,G589)</f>
        <v>0</v>
      </c>
      <c r="H581" s="2516">
        <f>SUM(H582,H589)</f>
        <v>0</v>
      </c>
      <c r="I581" s="2516">
        <f>SUM(I582,I589)</f>
        <v>0</v>
      </c>
      <c r="J581" s="2517">
        <f>SUM(J582,J589)</f>
        <v>0</v>
      </c>
      <c r="K581" s="2482"/>
    </row>
    <row r="582" spans="1:226" s="2485" customFormat="1" ht="15" hidden="1" customHeight="1">
      <c r="A582" s="3156"/>
      <c r="B582" s="3159"/>
      <c r="C582" s="3162"/>
      <c r="D582" s="3162"/>
      <c r="E582" s="2518" t="s">
        <v>1093</v>
      </c>
      <c r="F582" s="2519">
        <f>SUM(F583:F588)</f>
        <v>0</v>
      </c>
      <c r="G582" s="2519">
        <f>SUM(G583:G588)</f>
        <v>0</v>
      </c>
      <c r="H582" s="2519">
        <f>SUM(H583:H588)</f>
        <v>0</v>
      </c>
      <c r="I582" s="2519">
        <f>SUM(I583:I588)</f>
        <v>0</v>
      </c>
      <c r="J582" s="2520">
        <f>SUM(J583:J588)</f>
        <v>0</v>
      </c>
      <c r="K582" s="2482"/>
    </row>
    <row r="583" spans="1:226" s="2485" customFormat="1" ht="15" hidden="1" customHeight="1">
      <c r="A583" s="3156"/>
      <c r="B583" s="3159"/>
      <c r="C583" s="3162"/>
      <c r="D583" s="3162"/>
      <c r="E583" s="2508" t="s">
        <v>591</v>
      </c>
      <c r="F583" s="2509">
        <f t="shared" ref="F583:F588" si="63">SUM(G583:J583)</f>
        <v>0</v>
      </c>
      <c r="G583" s="2509"/>
      <c r="H583" s="2509"/>
      <c r="I583" s="2509"/>
      <c r="J583" s="2510"/>
      <c r="K583" s="2495"/>
    </row>
    <row r="584" spans="1:226" s="2485" customFormat="1" ht="15" hidden="1" customHeight="1">
      <c r="A584" s="3156"/>
      <c r="B584" s="3159"/>
      <c r="C584" s="3162"/>
      <c r="D584" s="3162"/>
      <c r="E584" s="2508" t="s">
        <v>592</v>
      </c>
      <c r="F584" s="2509">
        <f t="shared" si="63"/>
        <v>0</v>
      </c>
      <c r="G584" s="2509"/>
      <c r="H584" s="2509"/>
      <c r="I584" s="2509"/>
      <c r="J584" s="2510"/>
      <c r="K584" s="2482"/>
    </row>
    <row r="585" spans="1:226" s="2485" customFormat="1" ht="15" hidden="1" customHeight="1">
      <c r="A585" s="3156"/>
      <c r="B585" s="3159"/>
      <c r="C585" s="3162"/>
      <c r="D585" s="3162"/>
      <c r="E585" s="2508" t="s">
        <v>595</v>
      </c>
      <c r="F585" s="2509">
        <f t="shared" si="63"/>
        <v>0</v>
      </c>
      <c r="G585" s="2509"/>
      <c r="H585" s="2509"/>
      <c r="I585" s="2509"/>
      <c r="J585" s="2510"/>
      <c r="K585" s="2482"/>
    </row>
    <row r="586" spans="1:226" s="2485" customFormat="1" ht="15" hidden="1" customHeight="1">
      <c r="A586" s="3156"/>
      <c r="B586" s="3159"/>
      <c r="C586" s="3162"/>
      <c r="D586" s="3162"/>
      <c r="E586" s="2508" t="s">
        <v>596</v>
      </c>
      <c r="F586" s="2509">
        <f t="shared" si="63"/>
        <v>0</v>
      </c>
      <c r="G586" s="2509"/>
      <c r="H586" s="2509"/>
      <c r="I586" s="2509"/>
      <c r="J586" s="2510"/>
      <c r="K586" s="2482"/>
    </row>
    <row r="587" spans="1:226" s="2485" customFormat="1" ht="15" hidden="1" customHeight="1">
      <c r="A587" s="3156"/>
      <c r="B587" s="3159"/>
      <c r="C587" s="3162"/>
      <c r="D587" s="3162"/>
      <c r="E587" s="2508" t="s">
        <v>597</v>
      </c>
      <c r="F587" s="2509">
        <f t="shared" si="63"/>
        <v>0</v>
      </c>
      <c r="G587" s="2509"/>
      <c r="H587" s="2509"/>
      <c r="I587" s="2509"/>
      <c r="J587" s="2510"/>
      <c r="K587" s="2482"/>
    </row>
    <row r="588" spans="1:226" s="2485" customFormat="1" ht="15" hidden="1" customHeight="1">
      <c r="A588" s="3156"/>
      <c r="B588" s="3159"/>
      <c r="C588" s="3162"/>
      <c r="D588" s="3162"/>
      <c r="E588" s="2508" t="s">
        <v>598</v>
      </c>
      <c r="F588" s="2509">
        <f t="shared" si="63"/>
        <v>0</v>
      </c>
      <c r="G588" s="2509"/>
      <c r="H588" s="2509"/>
      <c r="I588" s="2509"/>
      <c r="J588" s="2510"/>
      <c r="K588" s="2482"/>
    </row>
    <row r="589" spans="1:226" s="2485" customFormat="1" ht="15" hidden="1" customHeight="1">
      <c r="A589" s="3156"/>
      <c r="B589" s="3159"/>
      <c r="C589" s="3162"/>
      <c r="D589" s="3162"/>
      <c r="E589" s="2518" t="s">
        <v>1094</v>
      </c>
      <c r="F589" s="2519">
        <f>SUM(F590:F600)</f>
        <v>0</v>
      </c>
      <c r="G589" s="2519">
        <f t="shared" ref="G589:J589" si="64">SUM(G590:G600)</f>
        <v>0</v>
      </c>
      <c r="H589" s="2519">
        <f t="shared" si="64"/>
        <v>0</v>
      </c>
      <c r="I589" s="2519">
        <f t="shared" si="64"/>
        <v>0</v>
      </c>
      <c r="J589" s="2520">
        <f t="shared" si="64"/>
        <v>0</v>
      </c>
      <c r="K589" s="2482"/>
    </row>
    <row r="590" spans="1:226" s="2485" customFormat="1" ht="15" hidden="1" customHeight="1">
      <c r="A590" s="3156"/>
      <c r="B590" s="3159"/>
      <c r="C590" s="3162"/>
      <c r="D590" s="3162"/>
      <c r="E590" s="2508" t="s">
        <v>604</v>
      </c>
      <c r="F590" s="2509">
        <f t="shared" ref="F590:F600" si="65">SUM(G590:J590)</f>
        <v>0</v>
      </c>
      <c r="G590" s="2509"/>
      <c r="H590" s="2509"/>
      <c r="I590" s="2509"/>
      <c r="J590" s="2510"/>
      <c r="K590" s="2482"/>
    </row>
    <row r="591" spans="1:226" s="2485" customFormat="1" ht="15" hidden="1" customHeight="1">
      <c r="A591" s="3156"/>
      <c r="B591" s="3159"/>
      <c r="C591" s="3162"/>
      <c r="D591" s="3162"/>
      <c r="E591" s="2508" t="s">
        <v>605</v>
      </c>
      <c r="F591" s="2509">
        <f t="shared" si="65"/>
        <v>0</v>
      </c>
      <c r="G591" s="2509"/>
      <c r="H591" s="2509"/>
      <c r="I591" s="2509"/>
      <c r="J591" s="2510"/>
      <c r="K591" s="2482"/>
    </row>
    <row r="592" spans="1:226" s="2485" customFormat="1" ht="15" hidden="1" customHeight="1">
      <c r="A592" s="3156"/>
      <c r="B592" s="3159"/>
      <c r="C592" s="3162"/>
      <c r="D592" s="3162"/>
      <c r="E592" s="2508" t="s">
        <v>608</v>
      </c>
      <c r="F592" s="2509">
        <f t="shared" si="65"/>
        <v>0</v>
      </c>
      <c r="G592" s="2509"/>
      <c r="H592" s="2509"/>
      <c r="I592" s="2509"/>
      <c r="J592" s="2510"/>
      <c r="K592" s="2482"/>
    </row>
    <row r="593" spans="1:226" s="2485" customFormat="1" ht="15" hidden="1" customHeight="1">
      <c r="A593" s="3156"/>
      <c r="B593" s="3159"/>
      <c r="C593" s="3162"/>
      <c r="D593" s="3162"/>
      <c r="E593" s="2508" t="s">
        <v>609</v>
      </c>
      <c r="F593" s="2509">
        <f t="shared" si="65"/>
        <v>0</v>
      </c>
      <c r="G593" s="2509"/>
      <c r="H593" s="2509"/>
      <c r="I593" s="2509"/>
      <c r="J593" s="2510"/>
      <c r="K593" s="2482"/>
    </row>
    <row r="594" spans="1:226" s="2485" customFormat="1" ht="15" hidden="1" customHeight="1">
      <c r="A594" s="3156"/>
      <c r="B594" s="3159"/>
      <c r="C594" s="3162"/>
      <c r="D594" s="3162"/>
      <c r="E594" s="2508" t="s">
        <v>728</v>
      </c>
      <c r="F594" s="2509">
        <f t="shared" si="65"/>
        <v>0</v>
      </c>
      <c r="G594" s="2509"/>
      <c r="H594" s="2509"/>
      <c r="I594" s="2509"/>
      <c r="J594" s="2510"/>
      <c r="K594" s="2482"/>
    </row>
    <row r="595" spans="1:226" s="2485" customFormat="1" ht="15" hidden="1" customHeight="1">
      <c r="A595" s="3156"/>
      <c r="B595" s="3159"/>
      <c r="C595" s="3162"/>
      <c r="D595" s="3162"/>
      <c r="E595" s="2508" t="s">
        <v>700</v>
      </c>
      <c r="F595" s="2509">
        <f t="shared" si="65"/>
        <v>0</v>
      </c>
      <c r="G595" s="2509"/>
      <c r="H595" s="2509"/>
      <c r="I595" s="2509"/>
      <c r="J595" s="2510"/>
      <c r="K595" s="2482"/>
    </row>
    <row r="596" spans="1:226" s="2485" customFormat="1" ht="15" hidden="1" customHeight="1">
      <c r="A596" s="3156"/>
      <c r="B596" s="3159"/>
      <c r="C596" s="3162"/>
      <c r="D596" s="3162"/>
      <c r="E596" s="2508" t="s">
        <v>612</v>
      </c>
      <c r="F596" s="2509">
        <f t="shared" si="65"/>
        <v>0</v>
      </c>
      <c r="G596" s="2509"/>
      <c r="H596" s="2509"/>
      <c r="I596" s="2509"/>
      <c r="J596" s="2510"/>
      <c r="K596" s="2482"/>
    </row>
    <row r="597" spans="1:226" s="2485" customFormat="1" ht="15" hidden="1" customHeight="1">
      <c r="A597" s="3156"/>
      <c r="B597" s="3159"/>
      <c r="C597" s="3162"/>
      <c r="D597" s="3162"/>
      <c r="E597" s="2508" t="s">
        <v>613</v>
      </c>
      <c r="F597" s="2509">
        <f t="shared" si="65"/>
        <v>0</v>
      </c>
      <c r="G597" s="2509"/>
      <c r="H597" s="2509"/>
      <c r="I597" s="2509"/>
      <c r="J597" s="2510"/>
      <c r="K597" s="2482"/>
    </row>
    <row r="598" spans="1:226" s="2485" customFormat="1" ht="15" hidden="1" customHeight="1">
      <c r="A598" s="3156"/>
      <c r="B598" s="3159"/>
      <c r="C598" s="3162"/>
      <c r="D598" s="3162"/>
      <c r="E598" s="2508" t="s">
        <v>702</v>
      </c>
      <c r="F598" s="2509">
        <f t="shared" si="65"/>
        <v>0</v>
      </c>
      <c r="G598" s="2509"/>
      <c r="H598" s="2509"/>
      <c r="I598" s="2509"/>
      <c r="J598" s="2510"/>
      <c r="K598" s="2482"/>
    </row>
    <row r="599" spans="1:226" s="2485" customFormat="1" ht="15" hidden="1" customHeight="1">
      <c r="A599" s="3156"/>
      <c r="B599" s="3159"/>
      <c r="C599" s="3162"/>
      <c r="D599" s="3162"/>
      <c r="E599" s="2508" t="s">
        <v>703</v>
      </c>
      <c r="F599" s="2509">
        <f t="shared" si="65"/>
        <v>0</v>
      </c>
      <c r="G599" s="2509"/>
      <c r="H599" s="2509"/>
      <c r="I599" s="2509"/>
      <c r="J599" s="2510"/>
      <c r="K599" s="2482"/>
    </row>
    <row r="600" spans="1:226" s="2485" customFormat="1" ht="15" hidden="1" customHeight="1">
      <c r="A600" s="3156"/>
      <c r="B600" s="3159"/>
      <c r="C600" s="3162"/>
      <c r="D600" s="3162"/>
      <c r="E600" s="2508" t="s">
        <v>640</v>
      </c>
      <c r="F600" s="2509">
        <f t="shared" si="65"/>
        <v>0</v>
      </c>
      <c r="G600" s="2509"/>
      <c r="H600" s="2509"/>
      <c r="I600" s="2509"/>
      <c r="J600" s="2510"/>
      <c r="K600" s="2482"/>
    </row>
    <row r="601" spans="1:226" s="2485" customFormat="1" ht="15" hidden="1" customHeight="1">
      <c r="A601" s="3156"/>
      <c r="B601" s="3159"/>
      <c r="C601" s="3162"/>
      <c r="D601" s="3162"/>
      <c r="E601" s="2521" t="s">
        <v>1087</v>
      </c>
      <c r="F601" s="2516">
        <f>SUM(F602:F603)</f>
        <v>0</v>
      </c>
      <c r="G601" s="2516">
        <f>SUM(G602:G603)</f>
        <v>0</v>
      </c>
      <c r="H601" s="2516">
        <f>SUM(H602:H603)</f>
        <v>0</v>
      </c>
      <c r="I601" s="2516">
        <f>SUM(I602:I603)</f>
        <v>0</v>
      </c>
      <c r="J601" s="2517">
        <f>SUM(J602:J603)</f>
        <v>0</v>
      </c>
      <c r="K601" s="2482"/>
    </row>
    <row r="602" spans="1:226" s="2485" customFormat="1" ht="15" hidden="1" customHeight="1">
      <c r="A602" s="3157"/>
      <c r="B602" s="3160"/>
      <c r="C602" s="3163"/>
      <c r="D602" s="3163"/>
      <c r="E602" s="2508" t="s">
        <v>777</v>
      </c>
      <c r="F602" s="2509">
        <f>SUM(G602:J602)</f>
        <v>0</v>
      </c>
      <c r="G602" s="2509"/>
      <c r="H602" s="2509"/>
      <c r="I602" s="2509"/>
      <c r="J602" s="2510"/>
      <c r="K602" s="2482"/>
    </row>
    <row r="603" spans="1:226" s="2485" customFormat="1" ht="15" hidden="1" customHeight="1">
      <c r="A603" s="2504"/>
      <c r="B603" s="2505"/>
      <c r="C603" s="2507"/>
      <c r="D603" s="2507"/>
      <c r="E603" s="2522"/>
      <c r="F603" s="2509">
        <f>SUM(G603:J603)</f>
        <v>0</v>
      </c>
      <c r="G603" s="2509"/>
      <c r="H603" s="2509"/>
      <c r="I603" s="2509"/>
      <c r="J603" s="2510"/>
      <c r="K603" s="2482"/>
    </row>
    <row r="604" spans="1:226" s="2485" customFormat="1" ht="22.5">
      <c r="A604" s="3112" t="s">
        <v>1148</v>
      </c>
      <c r="B604" s="3113" t="s">
        <v>1149</v>
      </c>
      <c r="C604" s="3134" t="s">
        <v>731</v>
      </c>
      <c r="D604" s="3134" t="s">
        <v>767</v>
      </c>
      <c r="E604" s="2479" t="s">
        <v>1086</v>
      </c>
      <c r="F604" s="2480">
        <f>SUM(F605,F623)</f>
        <v>1041266</v>
      </c>
      <c r="G604" s="2480">
        <f>SUM(G605,G623)</f>
        <v>0</v>
      </c>
      <c r="H604" s="2480">
        <f>SUM(H605,H623)</f>
        <v>1041266</v>
      </c>
      <c r="I604" s="2480">
        <f>SUM(I605,I623)</f>
        <v>0</v>
      </c>
      <c r="J604" s="2481">
        <f>SUM(J605,J623)</f>
        <v>0</v>
      </c>
      <c r="K604" s="2482"/>
      <c r="L604" s="2484"/>
      <c r="M604" s="2484"/>
      <c r="N604" s="2484"/>
      <c r="O604" s="2484"/>
      <c r="P604" s="2484"/>
      <c r="Q604" s="2484"/>
      <c r="R604" s="2484"/>
      <c r="S604" s="2484"/>
      <c r="T604" s="2484"/>
      <c r="U604" s="2484"/>
      <c r="V604" s="2484"/>
      <c r="W604" s="2484"/>
      <c r="X604" s="2484"/>
      <c r="Y604" s="2484"/>
      <c r="Z604" s="2484"/>
      <c r="AA604" s="2484"/>
      <c r="AB604" s="2484"/>
      <c r="AC604" s="2484"/>
      <c r="AD604" s="2484"/>
      <c r="AE604" s="2484"/>
      <c r="AF604" s="2484"/>
      <c r="AG604" s="2484"/>
      <c r="AH604" s="2484"/>
      <c r="AI604" s="2484"/>
      <c r="AJ604" s="2484"/>
      <c r="AK604" s="2484"/>
      <c r="AL604" s="2484"/>
      <c r="AM604" s="2484"/>
      <c r="AN604" s="2484"/>
      <c r="AO604" s="2484"/>
      <c r="AP604" s="2484"/>
      <c r="AQ604" s="2484"/>
      <c r="AR604" s="2484"/>
      <c r="AS604" s="2484"/>
      <c r="AT604" s="2484"/>
      <c r="AU604" s="2484"/>
      <c r="AV604" s="2484"/>
      <c r="AW604" s="2484"/>
      <c r="AX604" s="2484"/>
      <c r="AY604" s="2484"/>
      <c r="AZ604" s="2484"/>
      <c r="BA604" s="2484"/>
      <c r="BB604" s="2484"/>
      <c r="BC604" s="2484"/>
      <c r="BD604" s="2484"/>
      <c r="BE604" s="2484"/>
      <c r="BF604" s="2484"/>
      <c r="BG604" s="2484"/>
      <c r="BH604" s="2484"/>
      <c r="BI604" s="2484"/>
      <c r="BJ604" s="2484"/>
      <c r="BK604" s="2484"/>
      <c r="BL604" s="2484"/>
      <c r="BM604" s="2484"/>
      <c r="BN604" s="2484"/>
      <c r="BO604" s="2484"/>
      <c r="BP604" s="2484"/>
      <c r="BQ604" s="2484"/>
      <c r="BR604" s="2484"/>
      <c r="BS604" s="2484"/>
      <c r="BT604" s="2484"/>
      <c r="BU604" s="2484"/>
      <c r="BV604" s="2484"/>
      <c r="BW604" s="2484"/>
      <c r="BX604" s="2484"/>
      <c r="BY604" s="2484"/>
      <c r="BZ604" s="2484"/>
      <c r="CA604" s="2484"/>
      <c r="CB604" s="2484"/>
      <c r="CC604" s="2484"/>
      <c r="CD604" s="2484"/>
      <c r="CE604" s="2484"/>
      <c r="CF604" s="2484"/>
      <c r="CG604" s="2484"/>
      <c r="CH604" s="2484"/>
      <c r="CI604" s="2484"/>
      <c r="CJ604" s="2484"/>
      <c r="CK604" s="2484"/>
      <c r="CL604" s="2484"/>
      <c r="CM604" s="2484"/>
      <c r="CN604" s="2484"/>
      <c r="CO604" s="2484"/>
      <c r="CP604" s="2484"/>
      <c r="CQ604" s="2484"/>
      <c r="CR604" s="2484"/>
      <c r="CS604" s="2484"/>
      <c r="CT604" s="2484"/>
      <c r="CU604" s="2484"/>
      <c r="CV604" s="2484"/>
      <c r="CW604" s="2484"/>
      <c r="CX604" s="2484"/>
      <c r="CY604" s="2484"/>
      <c r="CZ604" s="2484"/>
      <c r="DA604" s="2484"/>
      <c r="DB604" s="2484"/>
      <c r="DC604" s="2484"/>
      <c r="DD604" s="2484"/>
      <c r="DE604" s="2484"/>
      <c r="DF604" s="2484"/>
      <c r="DG604" s="2484"/>
      <c r="DH604" s="2484"/>
      <c r="DI604" s="2484"/>
      <c r="DJ604" s="2484"/>
      <c r="DK604" s="2484"/>
      <c r="DL604" s="2484"/>
      <c r="DM604" s="2484"/>
      <c r="DN604" s="2484"/>
      <c r="DO604" s="2484"/>
      <c r="DP604" s="2484"/>
      <c r="DQ604" s="2484"/>
      <c r="DR604" s="2484"/>
      <c r="DS604" s="2484"/>
      <c r="DT604" s="2484"/>
      <c r="DU604" s="2484"/>
      <c r="DV604" s="2484"/>
      <c r="DW604" s="2484"/>
      <c r="DX604" s="2484"/>
      <c r="DY604" s="2484"/>
      <c r="DZ604" s="2484"/>
      <c r="EA604" s="2484"/>
      <c r="EB604" s="2484"/>
      <c r="EC604" s="2484"/>
      <c r="ED604" s="2484"/>
      <c r="EE604" s="2484"/>
      <c r="EF604" s="2484"/>
      <c r="EG604" s="2484"/>
      <c r="EH604" s="2484"/>
      <c r="EI604" s="2484"/>
      <c r="EJ604" s="2484"/>
      <c r="EK604" s="2484"/>
      <c r="EL604" s="2484"/>
      <c r="EM604" s="2484"/>
      <c r="EN604" s="2484"/>
      <c r="EO604" s="2484"/>
      <c r="EP604" s="2484"/>
      <c r="EQ604" s="2484"/>
      <c r="ER604" s="2484"/>
      <c r="ES604" s="2484"/>
      <c r="ET604" s="2484"/>
      <c r="EU604" s="2484"/>
      <c r="EV604" s="2484"/>
      <c r="EW604" s="2484"/>
      <c r="EX604" s="2484"/>
      <c r="EY604" s="2484"/>
      <c r="EZ604" s="2484"/>
      <c r="FA604" s="2484"/>
      <c r="FB604" s="2484"/>
      <c r="FC604" s="2484"/>
      <c r="FD604" s="2484"/>
      <c r="FE604" s="2484"/>
      <c r="FF604" s="2484"/>
      <c r="FG604" s="2484"/>
      <c r="FH604" s="2484"/>
      <c r="FI604" s="2484"/>
      <c r="FJ604" s="2484"/>
      <c r="FK604" s="2484"/>
      <c r="FL604" s="2484"/>
      <c r="FM604" s="2484"/>
      <c r="FN604" s="2484"/>
      <c r="FO604" s="2484"/>
      <c r="FP604" s="2484"/>
      <c r="FQ604" s="2484"/>
      <c r="FR604" s="2484"/>
      <c r="FS604" s="2484"/>
      <c r="FT604" s="2484"/>
      <c r="FU604" s="2484"/>
      <c r="FV604" s="2484"/>
      <c r="FW604" s="2484"/>
      <c r="FX604" s="2484"/>
      <c r="FY604" s="2484"/>
      <c r="FZ604" s="2484"/>
      <c r="GA604" s="2484"/>
      <c r="GB604" s="2484"/>
      <c r="GC604" s="2484"/>
      <c r="GD604" s="2484"/>
      <c r="GE604" s="2484"/>
      <c r="GF604" s="2484"/>
      <c r="GG604" s="2484"/>
      <c r="GH604" s="2484"/>
      <c r="GI604" s="2484"/>
      <c r="GJ604" s="2484"/>
      <c r="GK604" s="2484"/>
      <c r="GL604" s="2484"/>
      <c r="GM604" s="2484"/>
      <c r="GN604" s="2484"/>
      <c r="GO604" s="2484"/>
      <c r="GP604" s="2484"/>
      <c r="GQ604" s="2484"/>
      <c r="GR604" s="2484"/>
      <c r="GS604" s="2484"/>
      <c r="GT604" s="2484"/>
      <c r="GU604" s="2484"/>
      <c r="GV604" s="2484"/>
      <c r="GW604" s="2484"/>
      <c r="GX604" s="2484"/>
      <c r="GY604" s="2484"/>
      <c r="GZ604" s="2484"/>
      <c r="HA604" s="2484"/>
      <c r="HB604" s="2484"/>
      <c r="HC604" s="2484"/>
      <c r="HD604" s="2484"/>
      <c r="HE604" s="2484"/>
      <c r="HF604" s="2484"/>
      <c r="HG604" s="2484"/>
      <c r="HH604" s="2484"/>
      <c r="HI604" s="2484"/>
      <c r="HJ604" s="2484"/>
      <c r="HK604" s="2484"/>
      <c r="HL604" s="2484"/>
      <c r="HM604" s="2484"/>
      <c r="HN604" s="2484"/>
      <c r="HO604" s="2484"/>
      <c r="HP604" s="2484"/>
      <c r="HQ604" s="2484"/>
      <c r="HR604" s="2484"/>
    </row>
    <row r="605" spans="1:226" s="2485" customFormat="1" ht="21">
      <c r="A605" s="3112"/>
      <c r="B605" s="3113"/>
      <c r="C605" s="3134"/>
      <c r="D605" s="3134"/>
      <c r="E605" s="2486" t="s">
        <v>1092</v>
      </c>
      <c r="F605" s="2487">
        <f>SUM(F606,F612)</f>
        <v>1031266</v>
      </c>
      <c r="G605" s="2487">
        <f>SUM(G606,G612)</f>
        <v>0</v>
      </c>
      <c r="H605" s="2487">
        <f>SUM(H606,H612)</f>
        <v>1031266</v>
      </c>
      <c r="I605" s="2487">
        <f>SUM(I606,I612)</f>
        <v>0</v>
      </c>
      <c r="J605" s="2488">
        <f>SUM(J606,J612)</f>
        <v>0</v>
      </c>
      <c r="K605" s="2482"/>
    </row>
    <row r="606" spans="1:226" s="2485" customFormat="1" ht="22.5">
      <c r="A606" s="3112"/>
      <c r="B606" s="3113"/>
      <c r="C606" s="3134"/>
      <c r="D606" s="3134"/>
      <c r="E606" s="2497" t="s">
        <v>1093</v>
      </c>
      <c r="F606" s="2498">
        <f>SUM(F607:F611)</f>
        <v>319112</v>
      </c>
      <c r="G606" s="2498">
        <f>SUM(G607:G611)</f>
        <v>0</v>
      </c>
      <c r="H606" s="2498">
        <f>SUM(H607:H611)</f>
        <v>319112</v>
      </c>
      <c r="I606" s="2498">
        <f>SUM(I607:I611)</f>
        <v>0</v>
      </c>
      <c r="J606" s="2499">
        <f>SUM(J607:J611)</f>
        <v>0</v>
      </c>
      <c r="K606" s="2482"/>
    </row>
    <row r="607" spans="1:226" s="2485" customFormat="1" ht="15" customHeight="1">
      <c r="A607" s="3112"/>
      <c r="B607" s="3113"/>
      <c r="C607" s="3134"/>
      <c r="D607" s="3134"/>
      <c r="E607" s="2489" t="s">
        <v>591</v>
      </c>
      <c r="F607" s="2490">
        <f t="shared" ref="F607:F611" si="66">SUM(G607:J607)</f>
        <v>245948</v>
      </c>
      <c r="G607" s="2490"/>
      <c r="H607" s="2490">
        <v>245948</v>
      </c>
      <c r="I607" s="2490"/>
      <c r="J607" s="2491"/>
      <c r="K607" s="2495"/>
    </row>
    <row r="608" spans="1:226" s="2485" customFormat="1" ht="15" customHeight="1">
      <c r="A608" s="3112"/>
      <c r="B608" s="3113"/>
      <c r="C608" s="3134"/>
      <c r="D608" s="3134"/>
      <c r="E608" s="2489" t="s">
        <v>593</v>
      </c>
      <c r="F608" s="2490">
        <f t="shared" si="66"/>
        <v>21000</v>
      </c>
      <c r="G608" s="2490"/>
      <c r="H608" s="2490">
        <v>21000</v>
      </c>
      <c r="I608" s="2490"/>
      <c r="J608" s="2491"/>
      <c r="K608" s="2482"/>
    </row>
    <row r="609" spans="1:11" s="2485" customFormat="1" ht="15" customHeight="1">
      <c r="A609" s="3112"/>
      <c r="B609" s="3113"/>
      <c r="C609" s="3134"/>
      <c r="D609" s="3134"/>
      <c r="E609" s="2489" t="s">
        <v>595</v>
      </c>
      <c r="F609" s="2490">
        <f t="shared" si="66"/>
        <v>45587</v>
      </c>
      <c r="G609" s="2490"/>
      <c r="H609" s="2490">
        <v>45587</v>
      </c>
      <c r="I609" s="2490"/>
      <c r="J609" s="2491"/>
      <c r="K609" s="2482"/>
    </row>
    <row r="610" spans="1:11" s="2485" customFormat="1" ht="15" customHeight="1">
      <c r="A610" s="3112"/>
      <c r="B610" s="3113"/>
      <c r="C610" s="3134"/>
      <c r="D610" s="3134"/>
      <c r="E610" s="2489" t="s">
        <v>597</v>
      </c>
      <c r="F610" s="2490">
        <f t="shared" si="66"/>
        <v>4577</v>
      </c>
      <c r="G610" s="2490"/>
      <c r="H610" s="2490">
        <v>4577</v>
      </c>
      <c r="I610" s="2490"/>
      <c r="J610" s="2491"/>
      <c r="K610" s="2482"/>
    </row>
    <row r="611" spans="1:11" s="2485" customFormat="1" ht="15" customHeight="1">
      <c r="A611" s="3112"/>
      <c r="B611" s="3113"/>
      <c r="C611" s="3134"/>
      <c r="D611" s="3134"/>
      <c r="E611" s="2489" t="s">
        <v>599</v>
      </c>
      <c r="F611" s="2490">
        <f t="shared" si="66"/>
        <v>2000</v>
      </c>
      <c r="G611" s="2490"/>
      <c r="H611" s="2490">
        <v>2000</v>
      </c>
      <c r="I611" s="2490"/>
      <c r="J611" s="2491"/>
      <c r="K611" s="2482"/>
    </row>
    <row r="612" spans="1:11" s="2485" customFormat="1" ht="22.5">
      <c r="A612" s="3112"/>
      <c r="B612" s="3113"/>
      <c r="C612" s="3134"/>
      <c r="D612" s="3134"/>
      <c r="E612" s="2497" t="s">
        <v>1094</v>
      </c>
      <c r="F612" s="2498">
        <f>SUM(F613:F622)</f>
        <v>712154</v>
      </c>
      <c r="G612" s="2498">
        <f>SUM(G613:G622)</f>
        <v>0</v>
      </c>
      <c r="H612" s="2498">
        <f>SUM(H613:H622)</f>
        <v>712154</v>
      </c>
      <c r="I612" s="2498">
        <f>SUM(I613:I622)</f>
        <v>0</v>
      </c>
      <c r="J612" s="2499">
        <f>SUM(J613:J622)</f>
        <v>0</v>
      </c>
      <c r="K612" s="2482"/>
    </row>
    <row r="613" spans="1:11" s="2485" customFormat="1" ht="14.1" customHeight="1">
      <c r="A613" s="3112"/>
      <c r="B613" s="3113"/>
      <c r="C613" s="3134"/>
      <c r="D613" s="3134"/>
      <c r="E613" s="2489" t="s">
        <v>604</v>
      </c>
      <c r="F613" s="2490">
        <f t="shared" ref="F613:F622" si="67">SUM(G613:J613)</f>
        <v>100000</v>
      </c>
      <c r="G613" s="2490"/>
      <c r="H613" s="2490">
        <v>100000</v>
      </c>
      <c r="I613" s="2490"/>
      <c r="J613" s="2491"/>
      <c r="K613" s="2482"/>
    </row>
    <row r="614" spans="1:11" s="2485" customFormat="1" ht="14.1" customHeight="1">
      <c r="A614" s="3112"/>
      <c r="B614" s="3113"/>
      <c r="C614" s="3134"/>
      <c r="D614" s="3134"/>
      <c r="E614" s="2489" t="s">
        <v>772</v>
      </c>
      <c r="F614" s="2490">
        <f t="shared" si="67"/>
        <v>2000</v>
      </c>
      <c r="G614" s="2490"/>
      <c r="H614" s="2490">
        <v>2000</v>
      </c>
      <c r="I614" s="2490"/>
      <c r="J614" s="2491"/>
      <c r="K614" s="2482"/>
    </row>
    <row r="615" spans="1:11" s="2485" customFormat="1" ht="14.1" customHeight="1">
      <c r="A615" s="3112"/>
      <c r="B615" s="3113"/>
      <c r="C615" s="3134"/>
      <c r="D615" s="3134"/>
      <c r="E615" s="2489" t="s">
        <v>606</v>
      </c>
      <c r="F615" s="2490">
        <f t="shared" si="67"/>
        <v>2000</v>
      </c>
      <c r="G615" s="2490"/>
      <c r="H615" s="2490">
        <v>2000</v>
      </c>
      <c r="I615" s="2490"/>
      <c r="J615" s="2491"/>
      <c r="K615" s="2482"/>
    </row>
    <row r="616" spans="1:11" s="2485" customFormat="1" ht="14.1" customHeight="1">
      <c r="A616" s="3112"/>
      <c r="B616" s="3113"/>
      <c r="C616" s="3134"/>
      <c r="D616" s="3134"/>
      <c r="E616" s="2489" t="s">
        <v>608</v>
      </c>
      <c r="F616" s="2490">
        <f t="shared" si="67"/>
        <v>539154</v>
      </c>
      <c r="G616" s="2490"/>
      <c r="H616" s="2490">
        <v>539154</v>
      </c>
      <c r="I616" s="2490"/>
      <c r="J616" s="2491"/>
      <c r="K616" s="2482"/>
    </row>
    <row r="617" spans="1:11" s="2485" customFormat="1" ht="14.1" customHeight="1">
      <c r="A617" s="3112"/>
      <c r="B617" s="3113"/>
      <c r="C617" s="3134"/>
      <c r="D617" s="3134"/>
      <c r="E617" s="2489" t="s">
        <v>750</v>
      </c>
      <c r="F617" s="2490">
        <f t="shared" si="67"/>
        <v>3000</v>
      </c>
      <c r="G617" s="2490"/>
      <c r="H617" s="2490">
        <v>3000</v>
      </c>
      <c r="I617" s="2490"/>
      <c r="J617" s="2491"/>
      <c r="K617" s="2482"/>
    </row>
    <row r="618" spans="1:11" s="2485" customFormat="1" ht="14.1" customHeight="1">
      <c r="A618" s="3112"/>
      <c r="B618" s="3113"/>
      <c r="C618" s="3134"/>
      <c r="D618" s="3134"/>
      <c r="E618" s="2489" t="s">
        <v>728</v>
      </c>
      <c r="F618" s="2490">
        <f t="shared" si="67"/>
        <v>11000</v>
      </c>
      <c r="G618" s="2490"/>
      <c r="H618" s="2490">
        <v>11000</v>
      </c>
      <c r="I618" s="2490"/>
      <c r="J618" s="2491"/>
      <c r="K618" s="2482"/>
    </row>
    <row r="619" spans="1:11" s="2485" customFormat="1" ht="14.1" customHeight="1">
      <c r="A619" s="3112"/>
      <c r="B619" s="3113"/>
      <c r="C619" s="3134"/>
      <c r="D619" s="3134"/>
      <c r="E619" s="2489" t="s">
        <v>752</v>
      </c>
      <c r="F619" s="2490">
        <f t="shared" si="67"/>
        <v>26000</v>
      </c>
      <c r="G619" s="2490"/>
      <c r="H619" s="2490">
        <v>26000</v>
      </c>
      <c r="I619" s="2490"/>
      <c r="J619" s="2491"/>
      <c r="K619" s="2482"/>
    </row>
    <row r="620" spans="1:11" s="2485" customFormat="1" ht="14.1" customHeight="1">
      <c r="A620" s="3112"/>
      <c r="B620" s="3113"/>
      <c r="C620" s="3134"/>
      <c r="D620" s="3134"/>
      <c r="E620" s="2489" t="s">
        <v>612</v>
      </c>
      <c r="F620" s="2490">
        <f t="shared" si="67"/>
        <v>10000</v>
      </c>
      <c r="G620" s="2490"/>
      <c r="H620" s="2490">
        <v>10000</v>
      </c>
      <c r="I620" s="2490"/>
      <c r="J620" s="2491"/>
      <c r="K620" s="2482"/>
    </row>
    <row r="621" spans="1:11" s="2485" customFormat="1" ht="14.1" customHeight="1">
      <c r="A621" s="3112"/>
      <c r="B621" s="3113"/>
      <c r="C621" s="3134"/>
      <c r="D621" s="3134"/>
      <c r="E621" s="2489" t="s">
        <v>702</v>
      </c>
      <c r="F621" s="2490">
        <f t="shared" si="67"/>
        <v>10000</v>
      </c>
      <c r="G621" s="2490"/>
      <c r="H621" s="2490">
        <v>10000</v>
      </c>
      <c r="I621" s="2490"/>
      <c r="J621" s="2491"/>
      <c r="K621" s="2482"/>
    </row>
    <row r="622" spans="1:11" s="2485" customFormat="1" ht="14.1" customHeight="1">
      <c r="A622" s="3112"/>
      <c r="B622" s="3113"/>
      <c r="C622" s="3134"/>
      <c r="D622" s="3134"/>
      <c r="E622" s="2489" t="s">
        <v>616</v>
      </c>
      <c r="F622" s="2490">
        <f t="shared" si="67"/>
        <v>9000</v>
      </c>
      <c r="G622" s="2490"/>
      <c r="H622" s="2490">
        <v>9000</v>
      </c>
      <c r="I622" s="2490"/>
      <c r="J622" s="2491"/>
      <c r="K622" s="2482"/>
    </row>
    <row r="623" spans="1:11" s="2485" customFormat="1" ht="15" customHeight="1">
      <c r="A623" s="3112"/>
      <c r="B623" s="3113"/>
      <c r="C623" s="3134"/>
      <c r="D623" s="3134"/>
      <c r="E623" s="2492" t="s">
        <v>1087</v>
      </c>
      <c r="F623" s="2487">
        <f>SUM(F624:F625)</f>
        <v>10000</v>
      </c>
      <c r="G623" s="2487">
        <f>SUM(G624:G625)</f>
        <v>0</v>
      </c>
      <c r="H623" s="2487">
        <f>SUM(H624:H625)</f>
        <v>10000</v>
      </c>
      <c r="I623" s="2487">
        <f>SUM(I624:I625)</f>
        <v>0</v>
      </c>
      <c r="J623" s="2488">
        <f>SUM(J624:J625)</f>
        <v>0</v>
      </c>
      <c r="K623" s="2482"/>
    </row>
    <row r="624" spans="1:11" s="2485" customFormat="1" ht="15" hidden="1" customHeight="1">
      <c r="A624" s="3112"/>
      <c r="B624" s="3113"/>
      <c r="C624" s="3134"/>
      <c r="D624" s="3134"/>
      <c r="E624" s="2489" t="s">
        <v>690</v>
      </c>
      <c r="F624" s="2490">
        <f>SUM(G624:J624)</f>
        <v>0</v>
      </c>
      <c r="G624" s="2490"/>
      <c r="H624" s="2490"/>
      <c r="I624" s="2490"/>
      <c r="J624" s="2491"/>
      <c r="K624" s="2482"/>
    </row>
    <row r="625" spans="1:226" s="2485" customFormat="1" ht="15" customHeight="1">
      <c r="A625" s="3112"/>
      <c r="B625" s="3113"/>
      <c r="C625" s="3134"/>
      <c r="D625" s="3134"/>
      <c r="E625" s="2503">
        <v>6068</v>
      </c>
      <c r="F625" s="2490">
        <f>SUM(G625:J625)</f>
        <v>10000</v>
      </c>
      <c r="G625" s="2490"/>
      <c r="H625" s="2490">
        <v>10000</v>
      </c>
      <c r="I625" s="2490"/>
      <c r="J625" s="2491"/>
      <c r="K625" s="2482"/>
    </row>
    <row r="626" spans="1:226" s="2485" customFormat="1" ht="22.5" customHeight="1">
      <c r="A626" s="3139" t="s">
        <v>1150</v>
      </c>
      <c r="B626" s="3148" t="s">
        <v>1151</v>
      </c>
      <c r="C626" s="3117" t="s">
        <v>731</v>
      </c>
      <c r="D626" s="3117" t="s">
        <v>759</v>
      </c>
      <c r="E626" s="2479" t="s">
        <v>1086</v>
      </c>
      <c r="F626" s="2480">
        <f>SUM(F627,F644)</f>
        <v>324912</v>
      </c>
      <c r="G626" s="2480">
        <f>SUM(G627,G644)</f>
        <v>324912</v>
      </c>
      <c r="H626" s="2480">
        <f>SUM(H627,H644)</f>
        <v>0</v>
      </c>
      <c r="I626" s="2480">
        <f>SUM(I627,I644)</f>
        <v>0</v>
      </c>
      <c r="J626" s="2481">
        <f>SUM(J627,J644)</f>
        <v>0</v>
      </c>
      <c r="K626" s="2482"/>
      <c r="L626" s="2484"/>
      <c r="M626" s="2484"/>
      <c r="N626" s="2484"/>
      <c r="O626" s="2484"/>
      <c r="P626" s="2484"/>
      <c r="Q626" s="2484"/>
      <c r="R626" s="2484"/>
      <c r="S626" s="2484"/>
      <c r="T626" s="2484"/>
      <c r="U626" s="2484"/>
      <c r="V626" s="2484"/>
      <c r="W626" s="2484"/>
      <c r="X626" s="2484"/>
      <c r="Y626" s="2484"/>
      <c r="Z626" s="2484"/>
      <c r="AA626" s="2484"/>
      <c r="AB626" s="2484"/>
      <c r="AC626" s="2484"/>
      <c r="AD626" s="2484"/>
      <c r="AE626" s="2484"/>
      <c r="AF626" s="2484"/>
      <c r="AG626" s="2484"/>
      <c r="AH626" s="2484"/>
      <c r="AI626" s="2484"/>
      <c r="AJ626" s="2484"/>
      <c r="AK626" s="2484"/>
      <c r="AL626" s="2484"/>
      <c r="AM626" s="2484"/>
      <c r="AN626" s="2484"/>
      <c r="AO626" s="2484"/>
      <c r="AP626" s="2484"/>
      <c r="AQ626" s="2484"/>
      <c r="AR626" s="2484"/>
      <c r="AS626" s="2484"/>
      <c r="AT626" s="2484"/>
      <c r="AU626" s="2484"/>
      <c r="AV626" s="2484"/>
      <c r="AW626" s="2484"/>
      <c r="AX626" s="2484"/>
      <c r="AY626" s="2484"/>
      <c r="AZ626" s="2484"/>
      <c r="BA626" s="2484"/>
      <c r="BB626" s="2484"/>
      <c r="BC626" s="2484"/>
      <c r="BD626" s="2484"/>
      <c r="BE626" s="2484"/>
      <c r="BF626" s="2484"/>
      <c r="BG626" s="2484"/>
      <c r="BH626" s="2484"/>
      <c r="BI626" s="2484"/>
      <c r="BJ626" s="2484"/>
      <c r="BK626" s="2484"/>
      <c r="BL626" s="2484"/>
      <c r="BM626" s="2484"/>
      <c r="BN626" s="2484"/>
      <c r="BO626" s="2484"/>
      <c r="BP626" s="2484"/>
      <c r="BQ626" s="2484"/>
      <c r="BR626" s="2484"/>
      <c r="BS626" s="2484"/>
      <c r="BT626" s="2484"/>
      <c r="BU626" s="2484"/>
      <c r="BV626" s="2484"/>
      <c r="BW626" s="2484"/>
      <c r="BX626" s="2484"/>
      <c r="BY626" s="2484"/>
      <c r="BZ626" s="2484"/>
      <c r="CA626" s="2484"/>
      <c r="CB626" s="2484"/>
      <c r="CC626" s="2484"/>
      <c r="CD626" s="2484"/>
      <c r="CE626" s="2484"/>
      <c r="CF626" s="2484"/>
      <c r="CG626" s="2484"/>
      <c r="CH626" s="2484"/>
      <c r="CI626" s="2484"/>
      <c r="CJ626" s="2484"/>
      <c r="CK626" s="2484"/>
      <c r="CL626" s="2484"/>
      <c r="CM626" s="2484"/>
      <c r="CN626" s="2484"/>
      <c r="CO626" s="2484"/>
      <c r="CP626" s="2484"/>
      <c r="CQ626" s="2484"/>
      <c r="CR626" s="2484"/>
      <c r="CS626" s="2484"/>
      <c r="CT626" s="2484"/>
      <c r="CU626" s="2484"/>
      <c r="CV626" s="2484"/>
      <c r="CW626" s="2484"/>
      <c r="CX626" s="2484"/>
      <c r="CY626" s="2484"/>
      <c r="CZ626" s="2484"/>
      <c r="DA626" s="2484"/>
      <c r="DB626" s="2484"/>
      <c r="DC626" s="2484"/>
      <c r="DD626" s="2484"/>
      <c r="DE626" s="2484"/>
      <c r="DF626" s="2484"/>
      <c r="DG626" s="2484"/>
      <c r="DH626" s="2484"/>
      <c r="DI626" s="2484"/>
      <c r="DJ626" s="2484"/>
      <c r="DK626" s="2484"/>
      <c r="DL626" s="2484"/>
      <c r="DM626" s="2484"/>
      <c r="DN626" s="2484"/>
      <c r="DO626" s="2484"/>
      <c r="DP626" s="2484"/>
      <c r="DQ626" s="2484"/>
      <c r="DR626" s="2484"/>
      <c r="DS626" s="2484"/>
      <c r="DT626" s="2484"/>
      <c r="DU626" s="2484"/>
      <c r="DV626" s="2484"/>
      <c r="DW626" s="2484"/>
      <c r="DX626" s="2484"/>
      <c r="DY626" s="2484"/>
      <c r="DZ626" s="2484"/>
      <c r="EA626" s="2484"/>
      <c r="EB626" s="2484"/>
      <c r="EC626" s="2484"/>
      <c r="ED626" s="2484"/>
      <c r="EE626" s="2484"/>
      <c r="EF626" s="2484"/>
      <c r="EG626" s="2484"/>
      <c r="EH626" s="2484"/>
      <c r="EI626" s="2484"/>
      <c r="EJ626" s="2484"/>
      <c r="EK626" s="2484"/>
      <c r="EL626" s="2484"/>
      <c r="EM626" s="2484"/>
      <c r="EN626" s="2484"/>
      <c r="EO626" s="2484"/>
      <c r="EP626" s="2484"/>
      <c r="EQ626" s="2484"/>
      <c r="ER626" s="2484"/>
      <c r="ES626" s="2484"/>
      <c r="ET626" s="2484"/>
      <c r="EU626" s="2484"/>
      <c r="EV626" s="2484"/>
      <c r="EW626" s="2484"/>
      <c r="EX626" s="2484"/>
      <c r="EY626" s="2484"/>
      <c r="EZ626" s="2484"/>
      <c r="FA626" s="2484"/>
      <c r="FB626" s="2484"/>
      <c r="FC626" s="2484"/>
      <c r="FD626" s="2484"/>
      <c r="FE626" s="2484"/>
      <c r="FF626" s="2484"/>
      <c r="FG626" s="2484"/>
      <c r="FH626" s="2484"/>
      <c r="FI626" s="2484"/>
      <c r="FJ626" s="2484"/>
      <c r="FK626" s="2484"/>
      <c r="FL626" s="2484"/>
      <c r="FM626" s="2484"/>
      <c r="FN626" s="2484"/>
      <c r="FO626" s="2484"/>
      <c r="FP626" s="2484"/>
      <c r="FQ626" s="2484"/>
      <c r="FR626" s="2484"/>
      <c r="FS626" s="2484"/>
      <c r="FT626" s="2484"/>
      <c r="FU626" s="2484"/>
      <c r="FV626" s="2484"/>
      <c r="FW626" s="2484"/>
      <c r="FX626" s="2484"/>
      <c r="FY626" s="2484"/>
      <c r="FZ626" s="2484"/>
      <c r="GA626" s="2484"/>
      <c r="GB626" s="2484"/>
      <c r="GC626" s="2484"/>
      <c r="GD626" s="2484"/>
      <c r="GE626" s="2484"/>
      <c r="GF626" s="2484"/>
      <c r="GG626" s="2484"/>
      <c r="GH626" s="2484"/>
      <c r="GI626" s="2484"/>
      <c r="GJ626" s="2484"/>
      <c r="GK626" s="2484"/>
      <c r="GL626" s="2484"/>
      <c r="GM626" s="2484"/>
      <c r="GN626" s="2484"/>
      <c r="GO626" s="2484"/>
      <c r="GP626" s="2484"/>
      <c r="GQ626" s="2484"/>
      <c r="GR626" s="2484"/>
      <c r="GS626" s="2484"/>
      <c r="GT626" s="2484"/>
      <c r="GU626" s="2484"/>
      <c r="GV626" s="2484"/>
      <c r="GW626" s="2484"/>
      <c r="GX626" s="2484"/>
      <c r="GY626" s="2484"/>
      <c r="GZ626" s="2484"/>
      <c r="HA626" s="2484"/>
      <c r="HB626" s="2484"/>
      <c r="HC626" s="2484"/>
      <c r="HD626" s="2484"/>
      <c r="HE626" s="2484"/>
      <c r="HF626" s="2484"/>
      <c r="HG626" s="2484"/>
      <c r="HH626" s="2484"/>
      <c r="HI626" s="2484"/>
      <c r="HJ626" s="2484"/>
      <c r="HK626" s="2484"/>
      <c r="HL626" s="2484"/>
      <c r="HM626" s="2484"/>
      <c r="HN626" s="2484"/>
      <c r="HO626" s="2484"/>
      <c r="HP626" s="2484"/>
      <c r="HQ626" s="2484"/>
      <c r="HR626" s="2484"/>
    </row>
    <row r="627" spans="1:226" s="2485" customFormat="1" ht="21">
      <c r="A627" s="3140"/>
      <c r="B627" s="3149"/>
      <c r="C627" s="3146"/>
      <c r="D627" s="3146"/>
      <c r="E627" s="2486" t="s">
        <v>1092</v>
      </c>
      <c r="F627" s="2487">
        <f>SUM(F628,F635)</f>
        <v>324912</v>
      </c>
      <c r="G627" s="2487">
        <f>SUM(G628,G635)</f>
        <v>324912</v>
      </c>
      <c r="H627" s="2487">
        <f>SUM(H628,H635)</f>
        <v>0</v>
      </c>
      <c r="I627" s="2487">
        <f>SUM(I628,I635)</f>
        <v>0</v>
      </c>
      <c r="J627" s="2488">
        <f>SUM(J628,J635)</f>
        <v>0</v>
      </c>
      <c r="K627" s="2482"/>
    </row>
    <row r="628" spans="1:226" s="2485" customFormat="1" ht="22.5">
      <c r="A628" s="3140"/>
      <c r="B628" s="3149"/>
      <c r="C628" s="3146"/>
      <c r="D628" s="3146"/>
      <c r="E628" s="2497" t="s">
        <v>1093</v>
      </c>
      <c r="F628" s="2498">
        <f>SUM(F629:F634)</f>
        <v>25200</v>
      </c>
      <c r="G628" s="2498">
        <f>SUM(G629:G634)</f>
        <v>25200</v>
      </c>
      <c r="H628" s="2498">
        <f>SUM(H629:H634)</f>
        <v>0</v>
      </c>
      <c r="I628" s="2498">
        <f>SUM(I629:I634)</f>
        <v>0</v>
      </c>
      <c r="J628" s="2499">
        <f>SUM(J629:J634)</f>
        <v>0</v>
      </c>
      <c r="K628" s="2482"/>
    </row>
    <row r="629" spans="1:226" s="2485" customFormat="1" ht="15" customHeight="1">
      <c r="A629" s="3140"/>
      <c r="B629" s="3149"/>
      <c r="C629" s="3146"/>
      <c r="D629" s="3146"/>
      <c r="E629" s="2489" t="s">
        <v>591</v>
      </c>
      <c r="F629" s="2490">
        <f t="shared" ref="F629:F634" si="68">SUM(G629:J629)</f>
        <v>18927</v>
      </c>
      <c r="G629" s="2490">
        <v>18927</v>
      </c>
      <c r="H629" s="2490"/>
      <c r="I629" s="2490"/>
      <c r="J629" s="2491"/>
      <c r="K629" s="2495"/>
    </row>
    <row r="630" spans="1:226" s="2485" customFormat="1" ht="15" customHeight="1">
      <c r="A630" s="3140"/>
      <c r="B630" s="3149"/>
      <c r="C630" s="3146"/>
      <c r="D630" s="3146"/>
      <c r="E630" s="2489" t="s">
        <v>592</v>
      </c>
      <c r="F630" s="2490">
        <f t="shared" si="68"/>
        <v>2103</v>
      </c>
      <c r="G630" s="2490">
        <v>2103</v>
      </c>
      <c r="H630" s="2490"/>
      <c r="I630" s="2490"/>
      <c r="J630" s="2491"/>
      <c r="K630" s="2495"/>
    </row>
    <row r="631" spans="1:226" s="2485" customFormat="1" ht="15" customHeight="1">
      <c r="A631" s="3140"/>
      <c r="B631" s="3149"/>
      <c r="C631" s="3146"/>
      <c r="D631" s="3146"/>
      <c r="E631" s="2489" t="s">
        <v>595</v>
      </c>
      <c r="F631" s="2490">
        <f t="shared" si="68"/>
        <v>3290</v>
      </c>
      <c r="G631" s="2490">
        <v>3290</v>
      </c>
      <c r="H631" s="2490"/>
      <c r="I631" s="2490"/>
      <c r="J631" s="2491"/>
      <c r="K631" s="2495"/>
    </row>
    <row r="632" spans="1:226" s="2485" customFormat="1" ht="15" customHeight="1">
      <c r="A632" s="3140"/>
      <c r="B632" s="3149"/>
      <c r="C632" s="3146"/>
      <c r="D632" s="3146"/>
      <c r="E632" s="2489" t="s">
        <v>596</v>
      </c>
      <c r="F632" s="2490">
        <f t="shared" si="68"/>
        <v>365</v>
      </c>
      <c r="G632" s="2490">
        <v>365</v>
      </c>
      <c r="H632" s="2490"/>
      <c r="I632" s="2490"/>
      <c r="J632" s="2491"/>
      <c r="K632" s="2482"/>
    </row>
    <row r="633" spans="1:226" s="2485" customFormat="1" ht="15" customHeight="1">
      <c r="A633" s="3140"/>
      <c r="B633" s="3149"/>
      <c r="C633" s="3146"/>
      <c r="D633" s="3146"/>
      <c r="E633" s="2489" t="s">
        <v>597</v>
      </c>
      <c r="F633" s="2490">
        <f t="shared" si="68"/>
        <v>464</v>
      </c>
      <c r="G633" s="2490">
        <v>464</v>
      </c>
      <c r="H633" s="2490"/>
      <c r="I633" s="2490"/>
      <c r="J633" s="2491"/>
      <c r="K633" s="2482"/>
    </row>
    <row r="634" spans="1:226" s="2485" customFormat="1" ht="15" customHeight="1">
      <c r="A634" s="3140"/>
      <c r="B634" s="3149"/>
      <c r="C634" s="3146"/>
      <c r="D634" s="3146"/>
      <c r="E634" s="2489" t="s">
        <v>598</v>
      </c>
      <c r="F634" s="2490">
        <f t="shared" si="68"/>
        <v>51</v>
      </c>
      <c r="G634" s="2490">
        <v>51</v>
      </c>
      <c r="H634" s="2490"/>
      <c r="I634" s="2490"/>
      <c r="J634" s="2491"/>
      <c r="K634" s="2482"/>
    </row>
    <row r="635" spans="1:226" s="2485" customFormat="1" ht="22.5">
      <c r="A635" s="3140"/>
      <c r="B635" s="3149"/>
      <c r="C635" s="3146"/>
      <c r="D635" s="3146"/>
      <c r="E635" s="2497" t="s">
        <v>1094</v>
      </c>
      <c r="F635" s="2498">
        <f>SUM(F636:F643)</f>
        <v>299712</v>
      </c>
      <c r="G635" s="2498">
        <f>SUM(G636:G643)</f>
        <v>299712</v>
      </c>
      <c r="H635" s="2498">
        <f>SUM(H636:H643)</f>
        <v>0</v>
      </c>
      <c r="I635" s="2498">
        <f>SUM(I636:I643)</f>
        <v>0</v>
      </c>
      <c r="J635" s="2499">
        <f>SUM(J636:J643)</f>
        <v>0</v>
      </c>
      <c r="K635" s="2482"/>
    </row>
    <row r="636" spans="1:226" s="2485" customFormat="1" ht="15" customHeight="1">
      <c r="A636" s="3140"/>
      <c r="B636" s="3149"/>
      <c r="C636" s="3146"/>
      <c r="D636" s="3146"/>
      <c r="E636" s="2489" t="s">
        <v>604</v>
      </c>
      <c r="F636" s="2490">
        <f t="shared" ref="F636:F643" si="69">SUM(G636:J636)</f>
        <v>5481</v>
      </c>
      <c r="G636" s="2490">
        <v>5481</v>
      </c>
      <c r="H636" s="2490"/>
      <c r="I636" s="2490"/>
      <c r="J636" s="2491"/>
      <c r="K636" s="2482"/>
    </row>
    <row r="637" spans="1:226" s="2485" customFormat="1" ht="15" customHeight="1">
      <c r="A637" s="3140"/>
      <c r="B637" s="3149"/>
      <c r="C637" s="3146"/>
      <c r="D637" s="3146"/>
      <c r="E637" s="2489" t="s">
        <v>605</v>
      </c>
      <c r="F637" s="2490">
        <f t="shared" si="69"/>
        <v>609</v>
      </c>
      <c r="G637" s="2490">
        <v>609</v>
      </c>
      <c r="H637" s="2490"/>
      <c r="I637" s="2490"/>
      <c r="J637" s="2491"/>
      <c r="K637" s="2482"/>
    </row>
    <row r="638" spans="1:226" s="2485" customFormat="1" ht="15" customHeight="1">
      <c r="A638" s="3140"/>
      <c r="B638" s="3149"/>
      <c r="C638" s="3146"/>
      <c r="D638" s="3146"/>
      <c r="E638" s="2489" t="s">
        <v>608</v>
      </c>
      <c r="F638" s="2490">
        <f t="shared" si="69"/>
        <v>261461</v>
      </c>
      <c r="G638" s="2490">
        <v>261461</v>
      </c>
      <c r="H638" s="2490"/>
      <c r="I638" s="2490"/>
      <c r="J638" s="2491"/>
      <c r="K638" s="2482"/>
    </row>
    <row r="639" spans="1:226" s="2485" customFormat="1" ht="15" customHeight="1">
      <c r="A639" s="3140"/>
      <c r="B639" s="3149"/>
      <c r="C639" s="3146"/>
      <c r="D639" s="3146"/>
      <c r="E639" s="2489" t="s">
        <v>609</v>
      </c>
      <c r="F639" s="2490">
        <f t="shared" si="69"/>
        <v>29053</v>
      </c>
      <c r="G639" s="2490">
        <v>29053</v>
      </c>
      <c r="H639" s="2490"/>
      <c r="I639" s="2490"/>
      <c r="J639" s="2491"/>
      <c r="K639" s="2482"/>
    </row>
    <row r="640" spans="1:226" s="2485" customFormat="1" ht="15" customHeight="1">
      <c r="A640" s="3140"/>
      <c r="B640" s="3149"/>
      <c r="C640" s="3146"/>
      <c r="D640" s="3146"/>
      <c r="E640" s="2489" t="s">
        <v>728</v>
      </c>
      <c r="F640" s="2490">
        <f t="shared" si="69"/>
        <v>1134</v>
      </c>
      <c r="G640" s="2490">
        <v>1134</v>
      </c>
      <c r="H640" s="2490"/>
      <c r="I640" s="2490"/>
      <c r="J640" s="2491"/>
      <c r="K640" s="2482"/>
    </row>
    <row r="641" spans="1:11" s="2485" customFormat="1" ht="15" customHeight="1">
      <c r="A641" s="3140"/>
      <c r="B641" s="3149"/>
      <c r="C641" s="3146"/>
      <c r="D641" s="3146"/>
      <c r="E641" s="2489" t="s">
        <v>700</v>
      </c>
      <c r="F641" s="2490">
        <f t="shared" si="69"/>
        <v>126</v>
      </c>
      <c r="G641" s="2490">
        <v>126</v>
      </c>
      <c r="H641" s="2490"/>
      <c r="I641" s="2490"/>
      <c r="J641" s="2491"/>
      <c r="K641" s="2482"/>
    </row>
    <row r="642" spans="1:11" s="2485" customFormat="1" ht="15" customHeight="1">
      <c r="A642" s="3140"/>
      <c r="B642" s="3149"/>
      <c r="C642" s="3146"/>
      <c r="D642" s="3146"/>
      <c r="E642" s="2489" t="s">
        <v>702</v>
      </c>
      <c r="F642" s="2490">
        <f t="shared" si="69"/>
        <v>1663</v>
      </c>
      <c r="G642" s="2490">
        <v>1663</v>
      </c>
      <c r="H642" s="2490"/>
      <c r="I642" s="2490"/>
      <c r="J642" s="2491"/>
      <c r="K642" s="2482"/>
    </row>
    <row r="643" spans="1:11" s="2485" customFormat="1" ht="15" customHeight="1">
      <c r="A643" s="3140"/>
      <c r="B643" s="3149"/>
      <c r="C643" s="3146"/>
      <c r="D643" s="3146"/>
      <c r="E643" s="2489" t="s">
        <v>703</v>
      </c>
      <c r="F643" s="2490">
        <f t="shared" si="69"/>
        <v>185</v>
      </c>
      <c r="G643" s="2490">
        <v>185</v>
      </c>
      <c r="H643" s="2490"/>
      <c r="I643" s="2490"/>
      <c r="J643" s="2491"/>
      <c r="K643" s="2482"/>
    </row>
    <row r="644" spans="1:11" s="2485" customFormat="1" ht="15" customHeight="1">
      <c r="A644" s="3141"/>
      <c r="B644" s="3150"/>
      <c r="C644" s="3118"/>
      <c r="D644" s="3118"/>
      <c r="E644" s="2492" t="s">
        <v>1087</v>
      </c>
      <c r="F644" s="2487">
        <f>SUM(F645:F646)</f>
        <v>0</v>
      </c>
      <c r="G644" s="2487">
        <f>SUM(G645:G646)</f>
        <v>0</v>
      </c>
      <c r="H644" s="2487">
        <f>SUM(H645:H646)</f>
        <v>0</v>
      </c>
      <c r="I644" s="2487">
        <f>SUM(I645:I646)</f>
        <v>0</v>
      </c>
      <c r="J644" s="2488">
        <f>SUM(J645:J646)</f>
        <v>0</v>
      </c>
      <c r="K644" s="2482"/>
    </row>
    <row r="645" spans="1:11" s="2485" customFormat="1" ht="15" hidden="1" customHeight="1">
      <c r="A645" s="2500"/>
      <c r="B645" s="2501"/>
      <c r="C645" s="2502"/>
      <c r="D645" s="2502"/>
      <c r="E645" s="2489"/>
      <c r="F645" s="2490">
        <f>SUM(G645:J645)</f>
        <v>0</v>
      </c>
      <c r="G645" s="2490"/>
      <c r="H645" s="2490"/>
      <c r="I645" s="2490"/>
      <c r="J645" s="2491"/>
      <c r="K645" s="2482"/>
    </row>
    <row r="646" spans="1:11" s="2485" customFormat="1" ht="15" hidden="1" customHeight="1">
      <c r="A646" s="2500"/>
      <c r="B646" s="2501"/>
      <c r="C646" s="2502"/>
      <c r="D646" s="2502"/>
      <c r="E646" s="2503"/>
      <c r="F646" s="2490">
        <f>SUM(G646:J646)</f>
        <v>0</v>
      </c>
      <c r="G646" s="2490"/>
      <c r="H646" s="2490"/>
      <c r="I646" s="2490"/>
      <c r="J646" s="2491"/>
      <c r="K646" s="2482"/>
    </row>
    <row r="647" spans="1:11" s="2485" customFormat="1" ht="22.5" customHeight="1">
      <c r="A647" s="3139" t="s">
        <v>1152</v>
      </c>
      <c r="B647" s="3148" t="s">
        <v>1153</v>
      </c>
      <c r="C647" s="3117" t="s">
        <v>731</v>
      </c>
      <c r="D647" s="3117" t="s">
        <v>767</v>
      </c>
      <c r="E647" s="2479" t="s">
        <v>1086</v>
      </c>
      <c r="F647" s="2480">
        <f>SUM(F648,F681)</f>
        <v>2100000</v>
      </c>
      <c r="G647" s="2480">
        <f>SUM(G648,G681)</f>
        <v>0</v>
      </c>
      <c r="H647" s="2480">
        <f>SUM(H648,H681)</f>
        <v>1785000</v>
      </c>
      <c r="I647" s="2480">
        <f>SUM(I648,I681)</f>
        <v>315000</v>
      </c>
      <c r="J647" s="2481">
        <f>SUM(J648,J681)</f>
        <v>0</v>
      </c>
      <c r="K647" s="2482"/>
    </row>
    <row r="648" spans="1:11" s="2485" customFormat="1" ht="21">
      <c r="A648" s="3140"/>
      <c r="B648" s="3149"/>
      <c r="C648" s="3146"/>
      <c r="D648" s="3146"/>
      <c r="E648" s="2486" t="s">
        <v>1092</v>
      </c>
      <c r="F648" s="2487">
        <f>SUM(F649,F658)</f>
        <v>2100000</v>
      </c>
      <c r="G648" s="2487">
        <f>SUM(G649,G658)</f>
        <v>0</v>
      </c>
      <c r="H648" s="2487">
        <f>SUM(H649,H658)</f>
        <v>1785000</v>
      </c>
      <c r="I648" s="2487">
        <f>SUM(I649,I658)</f>
        <v>315000</v>
      </c>
      <c r="J648" s="2488">
        <f>SUM(J649,J658)</f>
        <v>0</v>
      </c>
      <c r="K648" s="2482"/>
    </row>
    <row r="649" spans="1:11" s="2485" customFormat="1" ht="22.5">
      <c r="A649" s="3140"/>
      <c r="B649" s="3149"/>
      <c r="C649" s="3146"/>
      <c r="D649" s="3146"/>
      <c r="E649" s="2497" t="s">
        <v>1093</v>
      </c>
      <c r="F649" s="2498">
        <f>SUM(F650:F657)</f>
        <v>1400000</v>
      </c>
      <c r="G649" s="2498">
        <f>SUM(G650:G657)</f>
        <v>0</v>
      </c>
      <c r="H649" s="2498">
        <f>SUM(H650:H657)</f>
        <v>1190000</v>
      </c>
      <c r="I649" s="2498">
        <f>SUM(I650:I657)</f>
        <v>210000</v>
      </c>
      <c r="J649" s="2499">
        <f>SUM(J650:J657)</f>
        <v>0</v>
      </c>
      <c r="K649" s="2482"/>
    </row>
    <row r="650" spans="1:11" s="2485" customFormat="1" ht="15" customHeight="1">
      <c r="A650" s="3140"/>
      <c r="B650" s="3149"/>
      <c r="C650" s="3146"/>
      <c r="D650" s="3146"/>
      <c r="E650" s="2489" t="s">
        <v>591</v>
      </c>
      <c r="F650" s="2490">
        <f t="shared" ref="F650:F657" si="70">SUM(G650:J650)</f>
        <v>910006</v>
      </c>
      <c r="G650" s="2490"/>
      <c r="H650" s="2490">
        <v>910006</v>
      </c>
      <c r="I650" s="2490"/>
      <c r="J650" s="2491"/>
      <c r="K650" s="2482"/>
    </row>
    <row r="651" spans="1:11" s="2485" customFormat="1" ht="15" customHeight="1">
      <c r="A651" s="3140"/>
      <c r="B651" s="3149"/>
      <c r="C651" s="3146"/>
      <c r="D651" s="3146"/>
      <c r="E651" s="2489" t="s">
        <v>592</v>
      </c>
      <c r="F651" s="2490">
        <f t="shared" si="70"/>
        <v>160589</v>
      </c>
      <c r="G651" s="2490"/>
      <c r="H651" s="2490"/>
      <c r="I651" s="2490">
        <v>160589</v>
      </c>
      <c r="J651" s="2491"/>
      <c r="K651" s="2482"/>
    </row>
    <row r="652" spans="1:11" s="2485" customFormat="1" ht="15" customHeight="1">
      <c r="A652" s="3140"/>
      <c r="B652" s="3149"/>
      <c r="C652" s="3146"/>
      <c r="D652" s="3146"/>
      <c r="E652" s="2489" t="s">
        <v>593</v>
      </c>
      <c r="F652" s="2490">
        <f t="shared" si="70"/>
        <v>53877</v>
      </c>
      <c r="G652" s="2490"/>
      <c r="H652" s="2490">
        <v>53877</v>
      </c>
      <c r="I652" s="2490"/>
      <c r="J652" s="2491"/>
      <c r="K652" s="2482"/>
    </row>
    <row r="653" spans="1:11" s="2485" customFormat="1" ht="15" customHeight="1">
      <c r="A653" s="3140"/>
      <c r="B653" s="3149"/>
      <c r="C653" s="3146"/>
      <c r="D653" s="3146"/>
      <c r="E653" s="2489" t="s">
        <v>594</v>
      </c>
      <c r="F653" s="2490">
        <f t="shared" si="70"/>
        <v>9508</v>
      </c>
      <c r="G653" s="2490"/>
      <c r="H653" s="2490"/>
      <c r="I653" s="2490">
        <v>9508</v>
      </c>
      <c r="J653" s="2491"/>
      <c r="K653" s="2482"/>
    </row>
    <row r="654" spans="1:11" s="2485" customFormat="1" ht="15" customHeight="1">
      <c r="A654" s="3140"/>
      <c r="B654" s="3149"/>
      <c r="C654" s="3146"/>
      <c r="D654" s="3146"/>
      <c r="E654" s="2489" t="s">
        <v>595</v>
      </c>
      <c r="F654" s="2490">
        <f t="shared" si="70"/>
        <v>173910</v>
      </c>
      <c r="G654" s="2490"/>
      <c r="H654" s="2490">
        <v>173910</v>
      </c>
      <c r="I654" s="2490"/>
      <c r="J654" s="2491"/>
      <c r="K654" s="2482"/>
    </row>
    <row r="655" spans="1:11" s="2485" customFormat="1" ht="15" customHeight="1">
      <c r="A655" s="3140"/>
      <c r="B655" s="3149"/>
      <c r="C655" s="3146"/>
      <c r="D655" s="3146"/>
      <c r="E655" s="2489" t="s">
        <v>596</v>
      </c>
      <c r="F655" s="2490">
        <f t="shared" si="70"/>
        <v>30690</v>
      </c>
      <c r="G655" s="2490"/>
      <c r="H655" s="2490"/>
      <c r="I655" s="2490">
        <v>30690</v>
      </c>
      <c r="J655" s="2491"/>
      <c r="K655" s="2482"/>
    </row>
    <row r="656" spans="1:11" s="2485" customFormat="1" ht="15" customHeight="1">
      <c r="A656" s="3140"/>
      <c r="B656" s="3149"/>
      <c r="C656" s="3146"/>
      <c r="D656" s="3146"/>
      <c r="E656" s="2489" t="s">
        <v>597</v>
      </c>
      <c r="F656" s="2490">
        <f t="shared" si="70"/>
        <v>52207</v>
      </c>
      <c r="G656" s="2490"/>
      <c r="H656" s="2490">
        <v>52207</v>
      </c>
      <c r="I656" s="2490"/>
      <c r="J656" s="2491"/>
      <c r="K656" s="2482"/>
    </row>
    <row r="657" spans="1:11" s="2485" customFormat="1" ht="15" customHeight="1">
      <c r="A657" s="3140"/>
      <c r="B657" s="3149"/>
      <c r="C657" s="3146"/>
      <c r="D657" s="3146"/>
      <c r="E657" s="2489" t="s">
        <v>598</v>
      </c>
      <c r="F657" s="2490">
        <f t="shared" si="70"/>
        <v>9213</v>
      </c>
      <c r="G657" s="2490"/>
      <c r="H657" s="2490"/>
      <c r="I657" s="2490">
        <v>9213</v>
      </c>
      <c r="J657" s="2491"/>
      <c r="K657" s="2482"/>
    </row>
    <row r="658" spans="1:11" s="2485" customFormat="1" ht="22.5">
      <c r="A658" s="3140"/>
      <c r="B658" s="3149"/>
      <c r="C658" s="3146"/>
      <c r="D658" s="3146"/>
      <c r="E658" s="2497" t="s">
        <v>1094</v>
      </c>
      <c r="F658" s="2498">
        <f>SUM(F659:F680)</f>
        <v>700000</v>
      </c>
      <c r="G658" s="2498">
        <f>SUM(G659:G680)</f>
        <v>0</v>
      </c>
      <c r="H658" s="2498">
        <f>SUM(H659:H680)</f>
        <v>595000</v>
      </c>
      <c r="I658" s="2498">
        <f>SUM(I659:I680)</f>
        <v>105000</v>
      </c>
      <c r="J658" s="2499">
        <f>SUM(J659:J680)</f>
        <v>0</v>
      </c>
      <c r="K658" s="2482"/>
    </row>
    <row r="659" spans="1:11" s="2485" customFormat="1" ht="15" customHeight="1">
      <c r="A659" s="3140"/>
      <c r="B659" s="3149"/>
      <c r="C659" s="3146"/>
      <c r="D659" s="3146"/>
      <c r="E659" s="2489" t="s">
        <v>604</v>
      </c>
      <c r="F659" s="2490">
        <f t="shared" ref="F659:F680" si="71">SUM(G659:J659)</f>
        <v>150293</v>
      </c>
      <c r="G659" s="2490"/>
      <c r="H659" s="2490">
        <v>150293</v>
      </c>
      <c r="I659" s="2490"/>
      <c r="J659" s="2491"/>
      <c r="K659" s="2482"/>
    </row>
    <row r="660" spans="1:11" s="2485" customFormat="1" ht="15" customHeight="1">
      <c r="A660" s="3140"/>
      <c r="B660" s="3149"/>
      <c r="C660" s="3146"/>
      <c r="D660" s="3146"/>
      <c r="E660" s="2489" t="s">
        <v>605</v>
      </c>
      <c r="F660" s="2490">
        <f t="shared" si="71"/>
        <v>26522</v>
      </c>
      <c r="G660" s="2490"/>
      <c r="H660" s="2490"/>
      <c r="I660" s="2490">
        <v>26522</v>
      </c>
      <c r="J660" s="2491"/>
      <c r="K660" s="2482"/>
    </row>
    <row r="661" spans="1:11" s="2485" customFormat="1" ht="15" hidden="1" customHeight="1">
      <c r="A661" s="3140"/>
      <c r="B661" s="3149"/>
      <c r="C661" s="3146"/>
      <c r="D661" s="3146"/>
      <c r="E661" s="2489" t="s">
        <v>772</v>
      </c>
      <c r="F661" s="2490">
        <f t="shared" si="71"/>
        <v>0</v>
      </c>
      <c r="G661" s="2490"/>
      <c r="H661" s="2490"/>
      <c r="I661" s="2490"/>
      <c r="J661" s="2491"/>
      <c r="K661" s="2482"/>
    </row>
    <row r="662" spans="1:11" s="2485" customFormat="1" ht="15" hidden="1" customHeight="1">
      <c r="A662" s="3140"/>
      <c r="B662" s="3149"/>
      <c r="C662" s="3146"/>
      <c r="D662" s="3146"/>
      <c r="E662" s="2489" t="s">
        <v>773</v>
      </c>
      <c r="F662" s="2490">
        <f t="shared" si="71"/>
        <v>0</v>
      </c>
      <c r="G662" s="2490"/>
      <c r="H662" s="2490"/>
      <c r="I662" s="2490"/>
      <c r="J662" s="2491"/>
      <c r="K662" s="2482"/>
    </row>
    <row r="663" spans="1:11" s="2485" customFormat="1" ht="15" customHeight="1">
      <c r="A663" s="3140"/>
      <c r="B663" s="3149"/>
      <c r="C663" s="3146"/>
      <c r="D663" s="3146"/>
      <c r="E663" s="2489" t="s">
        <v>746</v>
      </c>
      <c r="F663" s="2490">
        <f t="shared" si="71"/>
        <v>15300</v>
      </c>
      <c r="G663" s="2490"/>
      <c r="H663" s="2490">
        <v>15300</v>
      </c>
      <c r="I663" s="2490"/>
      <c r="J663" s="2491"/>
      <c r="K663" s="2482"/>
    </row>
    <row r="664" spans="1:11" s="2485" customFormat="1" ht="15" customHeight="1">
      <c r="A664" s="3140"/>
      <c r="B664" s="3149"/>
      <c r="C664" s="3146"/>
      <c r="D664" s="3146"/>
      <c r="E664" s="2489" t="s">
        <v>747</v>
      </c>
      <c r="F664" s="2490">
        <f t="shared" si="71"/>
        <v>2700</v>
      </c>
      <c r="G664" s="2490"/>
      <c r="H664" s="2490"/>
      <c r="I664" s="2490">
        <v>2700</v>
      </c>
      <c r="J664" s="2491"/>
      <c r="K664" s="2482"/>
    </row>
    <row r="665" spans="1:11" s="2485" customFormat="1" ht="15" hidden="1" customHeight="1">
      <c r="A665" s="3140"/>
      <c r="B665" s="3149"/>
      <c r="C665" s="3146"/>
      <c r="D665" s="3146"/>
      <c r="E665" s="2489" t="s">
        <v>606</v>
      </c>
      <c r="F665" s="2490">
        <f t="shared" si="71"/>
        <v>0</v>
      </c>
      <c r="G665" s="2490"/>
      <c r="H665" s="2490"/>
      <c r="I665" s="2490"/>
      <c r="J665" s="2491"/>
      <c r="K665" s="2482"/>
    </row>
    <row r="666" spans="1:11" s="2485" customFormat="1" ht="15" hidden="1" customHeight="1">
      <c r="A666" s="3140"/>
      <c r="B666" s="3149"/>
      <c r="C666" s="3146"/>
      <c r="D666" s="3146"/>
      <c r="E666" s="2489" t="s">
        <v>607</v>
      </c>
      <c r="F666" s="2490">
        <f t="shared" si="71"/>
        <v>0</v>
      </c>
      <c r="G666" s="2490"/>
      <c r="H666" s="2490"/>
      <c r="I666" s="2490"/>
      <c r="J666" s="2491"/>
      <c r="K666" s="2482"/>
    </row>
    <row r="667" spans="1:11" s="2485" customFormat="1" ht="15" customHeight="1">
      <c r="A667" s="3140"/>
      <c r="B667" s="3149"/>
      <c r="C667" s="3146"/>
      <c r="D667" s="3146"/>
      <c r="E667" s="2489" t="s">
        <v>608</v>
      </c>
      <c r="F667" s="2490">
        <f t="shared" si="71"/>
        <v>296650</v>
      </c>
      <c r="G667" s="2490"/>
      <c r="H667" s="2490">
        <v>296650</v>
      </c>
      <c r="I667" s="2490"/>
      <c r="J667" s="2491"/>
      <c r="K667" s="2482"/>
    </row>
    <row r="668" spans="1:11" s="2485" customFormat="1" ht="15" customHeight="1">
      <c r="A668" s="3140"/>
      <c r="B668" s="3149"/>
      <c r="C668" s="3146"/>
      <c r="D668" s="3146"/>
      <c r="E668" s="2489" t="s">
        <v>609</v>
      </c>
      <c r="F668" s="2490">
        <f t="shared" si="71"/>
        <v>52350</v>
      </c>
      <c r="G668" s="2490"/>
      <c r="H668" s="2490"/>
      <c r="I668" s="2490">
        <v>52350</v>
      </c>
      <c r="J668" s="2491"/>
      <c r="K668" s="2482"/>
    </row>
    <row r="669" spans="1:11" s="2485" customFormat="1" ht="15" customHeight="1">
      <c r="A669" s="3140"/>
      <c r="B669" s="3149"/>
      <c r="C669" s="3146"/>
      <c r="D669" s="3146"/>
      <c r="E669" s="2489" t="s">
        <v>750</v>
      </c>
      <c r="F669" s="2490">
        <f t="shared" si="71"/>
        <v>6800</v>
      </c>
      <c r="G669" s="2490"/>
      <c r="H669" s="2490">
        <v>6800</v>
      </c>
      <c r="I669" s="2490"/>
      <c r="J669" s="2491"/>
      <c r="K669" s="2482"/>
    </row>
    <row r="670" spans="1:11" s="2485" customFormat="1" ht="15" customHeight="1">
      <c r="A670" s="3140"/>
      <c r="B670" s="3149"/>
      <c r="C670" s="3146"/>
      <c r="D670" s="3146"/>
      <c r="E670" s="2489" t="s">
        <v>774</v>
      </c>
      <c r="F670" s="2490">
        <f t="shared" si="71"/>
        <v>1200</v>
      </c>
      <c r="G670" s="2490"/>
      <c r="H670" s="2490"/>
      <c r="I670" s="2490">
        <v>1200</v>
      </c>
      <c r="J670" s="2491"/>
      <c r="K670" s="2482"/>
    </row>
    <row r="671" spans="1:11" s="2485" customFormat="1" ht="15" customHeight="1">
      <c r="A671" s="3140"/>
      <c r="B671" s="3149"/>
      <c r="C671" s="3146"/>
      <c r="D671" s="3146"/>
      <c r="E671" s="2489" t="s">
        <v>728</v>
      </c>
      <c r="F671" s="2490">
        <f t="shared" si="71"/>
        <v>4250</v>
      </c>
      <c r="G671" s="2490"/>
      <c r="H671" s="2490">
        <v>4250</v>
      </c>
      <c r="I671" s="2490"/>
      <c r="J671" s="2491"/>
      <c r="K671" s="2482"/>
    </row>
    <row r="672" spans="1:11" s="2485" customFormat="1" ht="15" customHeight="1">
      <c r="A672" s="3140"/>
      <c r="B672" s="3149"/>
      <c r="C672" s="3146"/>
      <c r="D672" s="3146"/>
      <c r="E672" s="2489" t="s">
        <v>700</v>
      </c>
      <c r="F672" s="2490">
        <f t="shared" si="71"/>
        <v>750</v>
      </c>
      <c r="G672" s="2490"/>
      <c r="H672" s="2490"/>
      <c r="I672" s="2490">
        <v>750</v>
      </c>
      <c r="J672" s="2491"/>
      <c r="K672" s="2482"/>
    </row>
    <row r="673" spans="1:11" s="2485" customFormat="1" ht="15" customHeight="1">
      <c r="A673" s="3140"/>
      <c r="B673" s="3149"/>
      <c r="C673" s="3146"/>
      <c r="D673" s="3146"/>
      <c r="E673" s="2489" t="s">
        <v>752</v>
      </c>
      <c r="F673" s="2490">
        <f t="shared" si="71"/>
        <v>17000</v>
      </c>
      <c r="G673" s="2490"/>
      <c r="H673" s="2490">
        <v>17000</v>
      </c>
      <c r="I673" s="2490"/>
      <c r="J673" s="2491"/>
      <c r="K673" s="2482"/>
    </row>
    <row r="674" spans="1:11" s="2485" customFormat="1" ht="15" customHeight="1">
      <c r="A674" s="3140"/>
      <c r="B674" s="3149"/>
      <c r="C674" s="3146"/>
      <c r="D674" s="3146"/>
      <c r="E674" s="2489" t="s">
        <v>753</v>
      </c>
      <c r="F674" s="2490">
        <f t="shared" si="71"/>
        <v>3000</v>
      </c>
      <c r="G674" s="2490"/>
      <c r="H674" s="2490"/>
      <c r="I674" s="2490">
        <v>3000</v>
      </c>
      <c r="J674" s="2491"/>
      <c r="K674" s="2482"/>
    </row>
    <row r="675" spans="1:11" s="2485" customFormat="1" ht="15" customHeight="1">
      <c r="A675" s="3140"/>
      <c r="B675" s="3149"/>
      <c r="C675" s="3146"/>
      <c r="D675" s="3146"/>
      <c r="E675" s="2489" t="s">
        <v>612</v>
      </c>
      <c r="F675" s="2490">
        <f t="shared" si="71"/>
        <v>9932</v>
      </c>
      <c r="G675" s="2490"/>
      <c r="H675" s="2490">
        <v>9932</v>
      </c>
      <c r="I675" s="2490"/>
      <c r="J675" s="2491"/>
      <c r="K675" s="2482"/>
    </row>
    <row r="676" spans="1:11" s="2485" customFormat="1" ht="15" customHeight="1">
      <c r="A676" s="3140"/>
      <c r="B676" s="3149"/>
      <c r="C676" s="3146"/>
      <c r="D676" s="3146"/>
      <c r="E676" s="2489" t="s">
        <v>613</v>
      </c>
      <c r="F676" s="2490">
        <f t="shared" si="71"/>
        <v>1753</v>
      </c>
      <c r="G676" s="2490"/>
      <c r="H676" s="2490"/>
      <c r="I676" s="2490">
        <v>1753</v>
      </c>
      <c r="J676" s="2491"/>
      <c r="K676" s="2482"/>
    </row>
    <row r="677" spans="1:11" s="2485" customFormat="1" ht="15" customHeight="1">
      <c r="A677" s="3140"/>
      <c r="B677" s="3149"/>
      <c r="C677" s="3146"/>
      <c r="D677" s="3146"/>
      <c r="E677" s="2489" t="s">
        <v>754</v>
      </c>
      <c r="F677" s="2490">
        <f t="shared" si="71"/>
        <v>1275</v>
      </c>
      <c r="G677" s="2490"/>
      <c r="H677" s="2490">
        <v>1275</v>
      </c>
      <c r="I677" s="2490"/>
      <c r="J677" s="2491"/>
      <c r="K677" s="2482"/>
    </row>
    <row r="678" spans="1:11" s="2485" customFormat="1" ht="15" customHeight="1">
      <c r="A678" s="3140"/>
      <c r="B678" s="3149"/>
      <c r="C678" s="3146"/>
      <c r="D678" s="3146"/>
      <c r="E678" s="2489" t="s">
        <v>755</v>
      </c>
      <c r="F678" s="2490">
        <f t="shared" si="71"/>
        <v>225</v>
      </c>
      <c r="G678" s="2490"/>
      <c r="H678" s="2490"/>
      <c r="I678" s="2490">
        <v>225</v>
      </c>
      <c r="J678" s="2491"/>
      <c r="K678" s="2482"/>
    </row>
    <row r="679" spans="1:11" s="2485" customFormat="1" ht="15" customHeight="1">
      <c r="A679" s="3140"/>
      <c r="B679" s="3149"/>
      <c r="C679" s="3146"/>
      <c r="D679" s="3146"/>
      <c r="E679" s="2489" t="s">
        <v>616</v>
      </c>
      <c r="F679" s="2490">
        <f t="shared" si="71"/>
        <v>93500</v>
      </c>
      <c r="G679" s="2490"/>
      <c r="H679" s="2490">
        <v>93500</v>
      </c>
      <c r="I679" s="2490"/>
      <c r="J679" s="2491"/>
      <c r="K679" s="2482"/>
    </row>
    <row r="680" spans="1:11" s="2485" customFormat="1" ht="15" customHeight="1">
      <c r="A680" s="3140"/>
      <c r="B680" s="3149"/>
      <c r="C680" s="3146"/>
      <c r="D680" s="3146"/>
      <c r="E680" s="2489" t="s">
        <v>617</v>
      </c>
      <c r="F680" s="2490">
        <f t="shared" si="71"/>
        <v>16500</v>
      </c>
      <c r="G680" s="2490"/>
      <c r="H680" s="2490"/>
      <c r="I680" s="2490">
        <v>16500</v>
      </c>
      <c r="J680" s="2491"/>
      <c r="K680" s="2482"/>
    </row>
    <row r="681" spans="1:11" s="2485" customFormat="1" ht="15" customHeight="1">
      <c r="A681" s="3141"/>
      <c r="B681" s="3150"/>
      <c r="C681" s="3118"/>
      <c r="D681" s="3118"/>
      <c r="E681" s="2492" t="s">
        <v>1087</v>
      </c>
      <c r="F681" s="2487">
        <f>SUM(F682:F683)</f>
        <v>0</v>
      </c>
      <c r="G681" s="2487">
        <f>SUM(G682:G683)</f>
        <v>0</v>
      </c>
      <c r="H681" s="2487">
        <f>SUM(H682:H683)</f>
        <v>0</v>
      </c>
      <c r="I681" s="2487">
        <f>SUM(I682:I683)</f>
        <v>0</v>
      </c>
      <c r="J681" s="2488">
        <f>SUM(J682:J683)</f>
        <v>0</v>
      </c>
      <c r="K681" s="2482"/>
    </row>
    <row r="682" spans="1:11" s="2485" customFormat="1" ht="15" hidden="1" customHeight="1">
      <c r="A682" s="2500"/>
      <c r="B682" s="2501"/>
      <c r="C682" s="2502"/>
      <c r="D682" s="2502"/>
      <c r="E682" s="2489" t="s">
        <v>691</v>
      </c>
      <c r="F682" s="2490">
        <f>SUM(G682:J682)</f>
        <v>0</v>
      </c>
      <c r="G682" s="2490"/>
      <c r="H682" s="2490"/>
      <c r="I682" s="2490"/>
      <c r="J682" s="2491"/>
      <c r="K682" s="2482"/>
    </row>
    <row r="683" spans="1:11" s="2485" customFormat="1" ht="15" hidden="1" customHeight="1">
      <c r="A683" s="2500"/>
      <c r="B683" s="2501"/>
      <c r="C683" s="2502"/>
      <c r="D683" s="2502"/>
      <c r="E683" s="2503">
        <v>6069</v>
      </c>
      <c r="F683" s="2490">
        <f>SUM(G683:J683)</f>
        <v>0</v>
      </c>
      <c r="G683" s="2490"/>
      <c r="H683" s="2490"/>
      <c r="I683" s="2490"/>
      <c r="J683" s="2491"/>
      <c r="K683" s="2482"/>
    </row>
    <row r="684" spans="1:11" s="2485" customFormat="1" ht="22.5">
      <c r="A684" s="3112" t="s">
        <v>1154</v>
      </c>
      <c r="B684" s="3113" t="s">
        <v>1155</v>
      </c>
      <c r="C684" s="3134" t="s">
        <v>731</v>
      </c>
      <c r="D684" s="3134" t="s">
        <v>767</v>
      </c>
      <c r="E684" s="2479" t="s">
        <v>1086</v>
      </c>
      <c r="F684" s="2480">
        <f>SUM(F685,F705)</f>
        <v>812700</v>
      </c>
      <c r="G684" s="2480">
        <f>SUM(G685,G705)</f>
        <v>0</v>
      </c>
      <c r="H684" s="2480">
        <f>SUM(H685,H705)</f>
        <v>690795</v>
      </c>
      <c r="I684" s="2480">
        <f>SUM(I685,I705)</f>
        <v>121905</v>
      </c>
      <c r="J684" s="2481">
        <f>SUM(J685,J705)</f>
        <v>0</v>
      </c>
      <c r="K684" s="2482"/>
    </row>
    <row r="685" spans="1:11" s="2485" customFormat="1" ht="21">
      <c r="A685" s="3112"/>
      <c r="B685" s="3113"/>
      <c r="C685" s="3134"/>
      <c r="D685" s="3134"/>
      <c r="E685" s="2486" t="s">
        <v>1092</v>
      </c>
      <c r="F685" s="2487">
        <f>SUM(F686,F689,F700)</f>
        <v>812700</v>
      </c>
      <c r="G685" s="2487">
        <f>SUM(G686,G689,G700)</f>
        <v>0</v>
      </c>
      <c r="H685" s="2487">
        <f>SUM(H686,H689,H700)</f>
        <v>690795</v>
      </c>
      <c r="I685" s="2487">
        <f>SUM(I686,I689,I700)</f>
        <v>121905</v>
      </c>
      <c r="J685" s="2488">
        <f>SUM(J686,J689,J700)</f>
        <v>0</v>
      </c>
      <c r="K685" s="2482"/>
    </row>
    <row r="686" spans="1:11" s="2485" customFormat="1" ht="15" hidden="1" customHeight="1">
      <c r="A686" s="3112"/>
      <c r="B686" s="3113"/>
      <c r="C686" s="3134"/>
      <c r="D686" s="3134"/>
      <c r="E686" s="2497" t="s">
        <v>1156</v>
      </c>
      <c r="F686" s="2498">
        <f>SUM(F687:F688)</f>
        <v>0</v>
      </c>
      <c r="G686" s="2498">
        <f t="shared" ref="G686:J686" si="72">SUM(G687:G688)</f>
        <v>0</v>
      </c>
      <c r="H686" s="2498">
        <f t="shared" si="72"/>
        <v>0</v>
      </c>
      <c r="I686" s="2498">
        <f t="shared" si="72"/>
        <v>0</v>
      </c>
      <c r="J686" s="2499">
        <f t="shared" si="72"/>
        <v>0</v>
      </c>
      <c r="K686" s="2482"/>
    </row>
    <row r="687" spans="1:11" s="2485" customFormat="1" ht="15" hidden="1" customHeight="1">
      <c r="A687" s="3112"/>
      <c r="B687" s="3113"/>
      <c r="C687" s="3134"/>
      <c r="D687" s="3134"/>
      <c r="E687" s="2489" t="s">
        <v>588</v>
      </c>
      <c r="F687" s="2490">
        <f t="shared" ref="F687:F688" si="73">SUM(G687:J687)</f>
        <v>0</v>
      </c>
      <c r="G687" s="2490"/>
      <c r="H687" s="2490"/>
      <c r="I687" s="2490"/>
      <c r="J687" s="2491"/>
      <c r="K687" s="2482"/>
    </row>
    <row r="688" spans="1:11" s="2485" customFormat="1" ht="15" hidden="1" customHeight="1">
      <c r="A688" s="3112"/>
      <c r="B688" s="3113"/>
      <c r="C688" s="3134"/>
      <c r="D688" s="3134"/>
      <c r="E688" s="2489" t="s">
        <v>460</v>
      </c>
      <c r="F688" s="2490">
        <f t="shared" si="73"/>
        <v>0</v>
      </c>
      <c r="G688" s="2490"/>
      <c r="H688" s="2490"/>
      <c r="I688" s="2490"/>
      <c r="J688" s="2491"/>
      <c r="K688" s="2482"/>
    </row>
    <row r="689" spans="1:11" s="2485" customFormat="1" ht="22.5">
      <c r="A689" s="3112"/>
      <c r="B689" s="3113"/>
      <c r="C689" s="3134"/>
      <c r="D689" s="3134"/>
      <c r="E689" s="2497" t="s">
        <v>1093</v>
      </c>
      <c r="F689" s="2498">
        <f>SUM(F690:F699)</f>
        <v>48000</v>
      </c>
      <c r="G689" s="2498">
        <f>SUM(G690:G699)</f>
        <v>0</v>
      </c>
      <c r="H689" s="2498">
        <f>SUM(H690:H699)</f>
        <v>40799</v>
      </c>
      <c r="I689" s="2498">
        <f>SUM(I690:I699)</f>
        <v>7201</v>
      </c>
      <c r="J689" s="2499">
        <f>SUM(J690:J699)</f>
        <v>0</v>
      </c>
      <c r="K689" s="2482"/>
    </row>
    <row r="690" spans="1:11" s="2485" customFormat="1" ht="15" customHeight="1">
      <c r="A690" s="3112"/>
      <c r="B690" s="3113"/>
      <c r="C690" s="3134"/>
      <c r="D690" s="3134"/>
      <c r="E690" s="2489" t="s">
        <v>591</v>
      </c>
      <c r="F690" s="2490">
        <f t="shared" ref="F690:F699" si="74">SUM(G690:J690)</f>
        <v>34048</v>
      </c>
      <c r="G690" s="2490"/>
      <c r="H690" s="2490">
        <v>34048</v>
      </c>
      <c r="I690" s="2490"/>
      <c r="J690" s="2491"/>
      <c r="K690" s="2482"/>
    </row>
    <row r="691" spans="1:11" s="2485" customFormat="1" ht="15" customHeight="1">
      <c r="A691" s="3112"/>
      <c r="B691" s="3113"/>
      <c r="C691" s="3134"/>
      <c r="D691" s="3134"/>
      <c r="E691" s="2489" t="s">
        <v>592</v>
      </c>
      <c r="F691" s="2490">
        <f t="shared" si="74"/>
        <v>6009</v>
      </c>
      <c r="G691" s="2490"/>
      <c r="H691" s="2490"/>
      <c r="I691" s="2490">
        <v>6009</v>
      </c>
      <c r="J691" s="2491"/>
      <c r="K691" s="2482"/>
    </row>
    <row r="692" spans="1:11" s="2485" customFormat="1" ht="15" hidden="1" customHeight="1">
      <c r="A692" s="3112"/>
      <c r="B692" s="3113"/>
      <c r="C692" s="3134"/>
      <c r="D692" s="3134"/>
      <c r="E692" s="2489" t="s">
        <v>593</v>
      </c>
      <c r="F692" s="2490">
        <f t="shared" si="74"/>
        <v>0</v>
      </c>
      <c r="G692" s="2490"/>
      <c r="H692" s="2490"/>
      <c r="I692" s="2490"/>
      <c r="J692" s="2491"/>
      <c r="K692" s="2482"/>
    </row>
    <row r="693" spans="1:11" s="2485" customFormat="1" ht="15" hidden="1" customHeight="1">
      <c r="A693" s="3112"/>
      <c r="B693" s="3113"/>
      <c r="C693" s="3134"/>
      <c r="D693" s="3134"/>
      <c r="E693" s="2489" t="s">
        <v>594</v>
      </c>
      <c r="F693" s="2490">
        <f t="shared" si="74"/>
        <v>0</v>
      </c>
      <c r="G693" s="2490"/>
      <c r="H693" s="2490"/>
      <c r="I693" s="2490"/>
      <c r="J693" s="2491"/>
      <c r="K693" s="2482"/>
    </row>
    <row r="694" spans="1:11" s="2485" customFormat="1" ht="15" customHeight="1">
      <c r="A694" s="3112"/>
      <c r="B694" s="3113"/>
      <c r="C694" s="3134"/>
      <c r="D694" s="3134"/>
      <c r="E694" s="2489" t="s">
        <v>595</v>
      </c>
      <c r="F694" s="2490">
        <f t="shared" si="74"/>
        <v>5917</v>
      </c>
      <c r="G694" s="2490"/>
      <c r="H694" s="2490">
        <v>5917</v>
      </c>
      <c r="I694" s="2490"/>
      <c r="J694" s="2491"/>
      <c r="K694" s="2482"/>
    </row>
    <row r="695" spans="1:11" s="2485" customFormat="1" ht="15" customHeight="1">
      <c r="A695" s="3112"/>
      <c r="B695" s="3113"/>
      <c r="C695" s="3134"/>
      <c r="D695" s="3134"/>
      <c r="E695" s="2489" t="s">
        <v>596</v>
      </c>
      <c r="F695" s="2490">
        <f t="shared" si="74"/>
        <v>1044</v>
      </c>
      <c r="G695" s="2490"/>
      <c r="H695" s="2490"/>
      <c r="I695" s="2490">
        <v>1044</v>
      </c>
      <c r="J695" s="2491"/>
      <c r="K695" s="2482"/>
    </row>
    <row r="696" spans="1:11" s="2485" customFormat="1" ht="15" customHeight="1">
      <c r="A696" s="3112"/>
      <c r="B696" s="3113"/>
      <c r="C696" s="3134"/>
      <c r="D696" s="3134"/>
      <c r="E696" s="2489" t="s">
        <v>597</v>
      </c>
      <c r="F696" s="2490">
        <f t="shared" si="74"/>
        <v>834</v>
      </c>
      <c r="G696" s="2490"/>
      <c r="H696" s="2490">
        <v>834</v>
      </c>
      <c r="I696" s="2490"/>
      <c r="J696" s="2491"/>
      <c r="K696" s="2482"/>
    </row>
    <row r="697" spans="1:11" s="2485" customFormat="1" ht="15" customHeight="1">
      <c r="A697" s="3112"/>
      <c r="B697" s="3113"/>
      <c r="C697" s="3134"/>
      <c r="D697" s="3134"/>
      <c r="E697" s="2489" t="s">
        <v>598</v>
      </c>
      <c r="F697" s="2490">
        <f t="shared" si="74"/>
        <v>148</v>
      </c>
      <c r="G697" s="2490"/>
      <c r="H697" s="2490"/>
      <c r="I697" s="2490">
        <v>148</v>
      </c>
      <c r="J697" s="2491"/>
      <c r="K697" s="2482"/>
    </row>
    <row r="698" spans="1:11" s="2485" customFormat="1" ht="15" hidden="1" customHeight="1">
      <c r="A698" s="3112"/>
      <c r="B698" s="3113"/>
      <c r="C698" s="3134"/>
      <c r="D698" s="3134"/>
      <c r="E698" s="2489" t="s">
        <v>599</v>
      </c>
      <c r="F698" s="2490">
        <f t="shared" si="74"/>
        <v>0</v>
      </c>
      <c r="G698" s="2490"/>
      <c r="H698" s="2490"/>
      <c r="I698" s="2490"/>
      <c r="J698" s="2491"/>
      <c r="K698" s="2482"/>
    </row>
    <row r="699" spans="1:11" s="2485" customFormat="1" ht="15" hidden="1" customHeight="1">
      <c r="A699" s="3112"/>
      <c r="B699" s="3113"/>
      <c r="C699" s="3134"/>
      <c r="D699" s="3134"/>
      <c r="E699" s="2489" t="s">
        <v>600</v>
      </c>
      <c r="F699" s="2490">
        <f t="shared" si="74"/>
        <v>0</v>
      </c>
      <c r="G699" s="2490"/>
      <c r="H699" s="2490"/>
      <c r="I699" s="2490"/>
      <c r="J699" s="2491"/>
      <c r="K699" s="2482"/>
    </row>
    <row r="700" spans="1:11" s="2485" customFormat="1" ht="22.5">
      <c r="A700" s="3112"/>
      <c r="B700" s="3113"/>
      <c r="C700" s="3134"/>
      <c r="D700" s="3134"/>
      <c r="E700" s="2497" t="s">
        <v>1094</v>
      </c>
      <c r="F700" s="2498">
        <f>SUM(F701:F704)</f>
        <v>764700</v>
      </c>
      <c r="G700" s="2498">
        <f>SUM(G701:G704)</f>
        <v>0</v>
      </c>
      <c r="H700" s="2498">
        <f>SUM(H701:H704)</f>
        <v>649996</v>
      </c>
      <c r="I700" s="2498">
        <f>SUM(I701:I704)</f>
        <v>114704</v>
      </c>
      <c r="J700" s="2499">
        <f>SUM(J701:J704)</f>
        <v>0</v>
      </c>
      <c r="K700" s="2482"/>
    </row>
    <row r="701" spans="1:11" s="2485" customFormat="1" ht="15" customHeight="1">
      <c r="A701" s="3112"/>
      <c r="B701" s="3113"/>
      <c r="C701" s="3134"/>
      <c r="D701" s="3134"/>
      <c r="E701" s="2489" t="s">
        <v>608</v>
      </c>
      <c r="F701" s="2490">
        <f t="shared" ref="F701:F704" si="75">SUM(G701:J701)</f>
        <v>79646</v>
      </c>
      <c r="G701" s="2490"/>
      <c r="H701" s="2490">
        <v>79646</v>
      </c>
      <c r="I701" s="2490"/>
      <c r="J701" s="2491"/>
      <c r="K701" s="2482"/>
    </row>
    <row r="702" spans="1:11" s="2485" customFormat="1" ht="15" customHeight="1">
      <c r="A702" s="3112"/>
      <c r="B702" s="3113"/>
      <c r="C702" s="3134"/>
      <c r="D702" s="3134"/>
      <c r="E702" s="2489" t="s">
        <v>609</v>
      </c>
      <c r="F702" s="2490">
        <f t="shared" si="75"/>
        <v>14054</v>
      </c>
      <c r="G702" s="2490"/>
      <c r="H702" s="2490"/>
      <c r="I702" s="2490">
        <v>14054</v>
      </c>
      <c r="J702" s="2491"/>
      <c r="K702" s="2482"/>
    </row>
    <row r="703" spans="1:11" s="2485" customFormat="1" ht="15" customHeight="1">
      <c r="A703" s="3112"/>
      <c r="B703" s="3113"/>
      <c r="C703" s="3134"/>
      <c r="D703" s="3134"/>
      <c r="E703" s="2489" t="s">
        <v>610</v>
      </c>
      <c r="F703" s="2490">
        <f t="shared" si="75"/>
        <v>570350</v>
      </c>
      <c r="G703" s="2490"/>
      <c r="H703" s="2490">
        <v>570350</v>
      </c>
      <c r="I703" s="2490"/>
      <c r="J703" s="2491"/>
      <c r="K703" s="2482"/>
    </row>
    <row r="704" spans="1:11" s="2485" customFormat="1" ht="15" customHeight="1">
      <c r="A704" s="3112"/>
      <c r="B704" s="3113"/>
      <c r="C704" s="3134"/>
      <c r="D704" s="3134"/>
      <c r="E704" s="2489" t="s">
        <v>611</v>
      </c>
      <c r="F704" s="2490">
        <f t="shared" si="75"/>
        <v>100650</v>
      </c>
      <c r="G704" s="2490"/>
      <c r="H704" s="2490"/>
      <c r="I704" s="2490">
        <v>100650</v>
      </c>
      <c r="J704" s="2491"/>
      <c r="K704" s="2482"/>
    </row>
    <row r="705" spans="1:226" s="2485" customFormat="1" ht="15" customHeight="1">
      <c r="A705" s="3112"/>
      <c r="B705" s="3113"/>
      <c r="C705" s="3134"/>
      <c r="D705" s="3134"/>
      <c r="E705" s="2492" t="s">
        <v>1087</v>
      </c>
      <c r="F705" s="2487">
        <f>SUM(F706:F707)</f>
        <v>0</v>
      </c>
      <c r="G705" s="2487">
        <f>SUM(G706:G707)</f>
        <v>0</v>
      </c>
      <c r="H705" s="2487">
        <f>SUM(H706:H707)</f>
        <v>0</v>
      </c>
      <c r="I705" s="2487">
        <f>SUM(I706:I707)</f>
        <v>0</v>
      </c>
      <c r="J705" s="2488">
        <f>SUM(J706:J707)</f>
        <v>0</v>
      </c>
      <c r="K705" s="2482"/>
    </row>
    <row r="706" spans="1:226" s="2485" customFormat="1" ht="15" hidden="1" customHeight="1">
      <c r="A706" s="3112"/>
      <c r="B706" s="3113"/>
      <c r="C706" s="3134"/>
      <c r="D706" s="3134"/>
      <c r="E706" s="2489" t="s">
        <v>691</v>
      </c>
      <c r="F706" s="2490">
        <f>SUM(G706:J706)</f>
        <v>0</v>
      </c>
      <c r="G706" s="2490"/>
      <c r="H706" s="2490"/>
      <c r="I706" s="2490"/>
      <c r="J706" s="2491"/>
      <c r="K706" s="2482"/>
    </row>
    <row r="707" spans="1:226" s="2485" customFormat="1" ht="15" hidden="1" customHeight="1">
      <c r="A707" s="3112"/>
      <c r="B707" s="3113"/>
      <c r="C707" s="3134"/>
      <c r="D707" s="3134"/>
      <c r="E707" s="2503">
        <v>6069</v>
      </c>
      <c r="F707" s="2490">
        <f>SUM(G707:J707)</f>
        <v>0</v>
      </c>
      <c r="G707" s="2490"/>
      <c r="H707" s="2490"/>
      <c r="I707" s="2490"/>
      <c r="J707" s="2491"/>
      <c r="K707" s="2482"/>
    </row>
    <row r="708" spans="1:226" s="2523" customFormat="1" ht="27.75" customHeight="1">
      <c r="A708" s="2476" t="s">
        <v>1157</v>
      </c>
      <c r="B708" s="3108" t="s">
        <v>1158</v>
      </c>
      <c r="C708" s="3108"/>
      <c r="D708" s="3108"/>
      <c r="E708" s="3108"/>
      <c r="F708" s="2525">
        <f>F710+F725+F740+F770+F785+F800+F815+F830+F845+F860+F875+F890+F905+F920+F935+F950+F965+F980+F995+F1010+F1025+F1040+F1055+F1070+F1085+F1100</f>
        <v>420796550</v>
      </c>
      <c r="G708" s="2525">
        <f t="shared" ref="G708:J708" si="76">G710+G725+G740+G770+G785+G800+G815+G830+G845+G860+G875+G890+G905+G920+G935+G950+G965+G980+G995+G1010+G1025+G1040+G1055+G1070+G1085+G1100</f>
        <v>79165453</v>
      </c>
      <c r="H708" s="2525">
        <f t="shared" si="76"/>
        <v>321998513</v>
      </c>
      <c r="I708" s="2525">
        <f t="shared" si="76"/>
        <v>8957007</v>
      </c>
      <c r="J708" s="2525">
        <f t="shared" si="76"/>
        <v>10675577</v>
      </c>
      <c r="K708" s="2482"/>
      <c r="L708" s="2482"/>
      <c r="M708" s="2482"/>
      <c r="N708" s="2482"/>
      <c r="O708" s="2482"/>
      <c r="P708" s="2482"/>
      <c r="Q708" s="2482"/>
      <c r="R708" s="2482"/>
      <c r="S708" s="2482"/>
      <c r="T708" s="2482"/>
      <c r="U708" s="2482"/>
      <c r="V708" s="2482"/>
      <c r="W708" s="2482"/>
      <c r="X708" s="2482"/>
      <c r="Y708" s="2482"/>
      <c r="Z708" s="2482"/>
      <c r="AA708" s="2482"/>
      <c r="AB708" s="2482"/>
      <c r="AC708" s="2482"/>
      <c r="AD708" s="2482"/>
      <c r="AE708" s="2482"/>
      <c r="AF708" s="2482"/>
      <c r="AG708" s="2482"/>
      <c r="AH708" s="2482"/>
      <c r="AI708" s="2482"/>
      <c r="AJ708" s="2482"/>
      <c r="AK708" s="2482"/>
      <c r="AL708" s="2482"/>
      <c r="AM708" s="2482"/>
      <c r="AN708" s="2482"/>
      <c r="AO708" s="2482"/>
      <c r="AP708" s="2482"/>
      <c r="AQ708" s="2482"/>
      <c r="AR708" s="2482"/>
      <c r="AS708" s="2482"/>
      <c r="AT708" s="2482"/>
      <c r="AU708" s="2482"/>
      <c r="AV708" s="2482"/>
      <c r="AW708" s="2482"/>
      <c r="AX708" s="2482"/>
      <c r="AY708" s="2482"/>
      <c r="AZ708" s="2482"/>
      <c r="BA708" s="2482"/>
      <c r="BB708" s="2482"/>
      <c r="BC708" s="2482"/>
      <c r="BD708" s="2482"/>
      <c r="BE708" s="2482"/>
      <c r="BF708" s="2482"/>
      <c r="BG708" s="2482"/>
      <c r="BH708" s="2482"/>
      <c r="BI708" s="2482"/>
      <c r="BJ708" s="2482"/>
      <c r="BK708" s="2482"/>
      <c r="BL708" s="2482"/>
      <c r="BM708" s="2482"/>
      <c r="BN708" s="2482"/>
      <c r="BO708" s="2482"/>
      <c r="BP708" s="2482"/>
      <c r="BQ708" s="2482"/>
      <c r="BR708" s="2482"/>
      <c r="BS708" s="2482"/>
      <c r="BT708" s="2482"/>
      <c r="BU708" s="2482"/>
      <c r="BV708" s="2482"/>
      <c r="BW708" s="2482"/>
      <c r="BX708" s="2482"/>
      <c r="BY708" s="2482"/>
      <c r="BZ708" s="2482"/>
      <c r="CA708" s="2482"/>
      <c r="CB708" s="2482"/>
      <c r="CC708" s="2482"/>
      <c r="CD708" s="2482"/>
      <c r="CE708" s="2482"/>
      <c r="CF708" s="2482"/>
      <c r="CG708" s="2482"/>
      <c r="CH708" s="2482"/>
      <c r="CI708" s="2482"/>
      <c r="CJ708" s="2482"/>
      <c r="CK708" s="2482"/>
      <c r="CL708" s="2482"/>
      <c r="CM708" s="2482"/>
      <c r="CN708" s="2482"/>
      <c r="CO708" s="2482"/>
      <c r="CP708" s="2482"/>
      <c r="CQ708" s="2482"/>
      <c r="CR708" s="2482"/>
      <c r="CS708" s="2482"/>
      <c r="CT708" s="2482"/>
      <c r="CU708" s="2482"/>
      <c r="CV708" s="2482"/>
      <c r="CW708" s="2482"/>
      <c r="CX708" s="2482"/>
      <c r="CY708" s="2482"/>
      <c r="CZ708" s="2482"/>
      <c r="DA708" s="2482"/>
      <c r="DB708" s="2482"/>
      <c r="DC708" s="2482"/>
      <c r="DD708" s="2482"/>
      <c r="DE708" s="2482"/>
      <c r="DF708" s="2482"/>
      <c r="DG708" s="2482"/>
      <c r="DH708" s="2482"/>
      <c r="DI708" s="2482"/>
      <c r="DJ708" s="2482"/>
      <c r="DK708" s="2482"/>
      <c r="DL708" s="2482"/>
      <c r="DM708" s="2482"/>
      <c r="DN708" s="2482"/>
      <c r="DO708" s="2482"/>
      <c r="DP708" s="2482"/>
      <c r="DQ708" s="2482"/>
      <c r="DR708" s="2482"/>
      <c r="DS708" s="2482"/>
      <c r="DT708" s="2482"/>
      <c r="DU708" s="2482"/>
      <c r="DV708" s="2482"/>
      <c r="DW708" s="2482"/>
      <c r="DX708" s="2482"/>
      <c r="DY708" s="2482"/>
      <c r="DZ708" s="2482"/>
      <c r="EA708" s="2482"/>
      <c r="EB708" s="2482"/>
      <c r="EC708" s="2482"/>
      <c r="ED708" s="2482"/>
      <c r="EE708" s="2482"/>
      <c r="EF708" s="2482"/>
      <c r="EG708" s="2482"/>
      <c r="EH708" s="2482"/>
      <c r="EI708" s="2482"/>
      <c r="EJ708" s="2482"/>
      <c r="EK708" s="2482"/>
      <c r="EL708" s="2482"/>
      <c r="EM708" s="2482"/>
      <c r="EN708" s="2482"/>
      <c r="EO708" s="2482"/>
      <c r="EP708" s="2482"/>
      <c r="EQ708" s="2482"/>
      <c r="ER708" s="2482"/>
      <c r="ES708" s="2482"/>
      <c r="ET708" s="2482"/>
      <c r="EU708" s="2482"/>
      <c r="EV708" s="2482"/>
      <c r="EW708" s="2482"/>
      <c r="EX708" s="2482"/>
      <c r="EY708" s="2482"/>
      <c r="EZ708" s="2482"/>
      <c r="FA708" s="2482"/>
      <c r="FB708" s="2482"/>
      <c r="FC708" s="2482"/>
      <c r="FD708" s="2482"/>
      <c r="FE708" s="2482"/>
      <c r="FF708" s="2482"/>
      <c r="FG708" s="2482"/>
      <c r="FH708" s="2482"/>
      <c r="FI708" s="2482"/>
      <c r="FJ708" s="2482"/>
      <c r="FK708" s="2482"/>
      <c r="FL708" s="2482"/>
      <c r="FM708" s="2482"/>
      <c r="FN708" s="2482"/>
      <c r="FO708" s="2482"/>
      <c r="FP708" s="2482"/>
      <c r="FQ708" s="2482"/>
      <c r="FR708" s="2482"/>
      <c r="FS708" s="2482"/>
      <c r="FT708" s="2482"/>
      <c r="FU708" s="2482"/>
      <c r="FV708" s="2482"/>
      <c r="FW708" s="2482"/>
      <c r="FX708" s="2482"/>
      <c r="FY708" s="2482"/>
      <c r="FZ708" s="2482"/>
      <c r="GA708" s="2482"/>
      <c r="GB708" s="2482"/>
      <c r="GC708" s="2482"/>
      <c r="GD708" s="2482"/>
      <c r="GE708" s="2482"/>
      <c r="GF708" s="2482"/>
      <c r="GG708" s="2482"/>
      <c r="GH708" s="2482"/>
      <c r="GI708" s="2482"/>
      <c r="GJ708" s="2482"/>
      <c r="GK708" s="2482"/>
      <c r="GL708" s="2482"/>
      <c r="GM708" s="2482"/>
      <c r="GN708" s="2482"/>
      <c r="GO708" s="2482"/>
      <c r="GP708" s="2482"/>
      <c r="GQ708" s="2482"/>
      <c r="GR708" s="2482"/>
      <c r="GS708" s="2482"/>
      <c r="GT708" s="2482"/>
      <c r="GU708" s="2482"/>
      <c r="GV708" s="2482"/>
      <c r="GW708" s="2482"/>
      <c r="GX708" s="2482"/>
      <c r="GY708" s="2482"/>
      <c r="GZ708" s="2482"/>
      <c r="HA708" s="2482"/>
      <c r="HB708" s="2482"/>
      <c r="HC708" s="2482"/>
      <c r="HD708" s="2482"/>
      <c r="HE708" s="2482"/>
      <c r="HF708" s="2482"/>
      <c r="HG708" s="2482"/>
      <c r="HH708" s="2482"/>
      <c r="HI708" s="2482"/>
      <c r="HJ708" s="2482"/>
      <c r="HK708" s="2482"/>
      <c r="HL708" s="2482"/>
      <c r="HM708" s="2482"/>
      <c r="HN708" s="2482"/>
      <c r="HO708" s="2482"/>
      <c r="HP708" s="2482"/>
      <c r="HQ708" s="2482"/>
      <c r="HR708" s="2482"/>
    </row>
    <row r="709" spans="1:226" s="2485" customFormat="1" ht="12.75" customHeight="1">
      <c r="A709" s="3109"/>
      <c r="B709" s="3110"/>
      <c r="C709" s="3110"/>
      <c r="D709" s="3110"/>
      <c r="E709" s="3110"/>
      <c r="F709" s="3110"/>
      <c r="G709" s="3110"/>
      <c r="H709" s="3110"/>
      <c r="I709" s="3110"/>
      <c r="J709" s="3111"/>
      <c r="K709" s="2482"/>
    </row>
    <row r="710" spans="1:226" s="2485" customFormat="1" ht="22.5">
      <c r="A710" s="3112" t="s">
        <v>1084</v>
      </c>
      <c r="B710" s="3113" t="s">
        <v>1159</v>
      </c>
      <c r="C710" s="3114">
        <v>600</v>
      </c>
      <c r="D710" s="3134" t="s">
        <v>682</v>
      </c>
      <c r="E710" s="2479" t="s">
        <v>1086</v>
      </c>
      <c r="F710" s="2480">
        <f>SUM(F711,F718)</f>
        <v>5661139</v>
      </c>
      <c r="G710" s="2480">
        <f>SUM(G711,G718)</f>
        <v>1057600</v>
      </c>
      <c r="H710" s="2480">
        <f>SUM(H711,H718)</f>
        <v>3913008</v>
      </c>
      <c r="I710" s="2480">
        <f>SUM(I711,I718)</f>
        <v>690531</v>
      </c>
      <c r="J710" s="2481">
        <f>SUM(J711,J718)</f>
        <v>0</v>
      </c>
      <c r="K710" s="2482"/>
      <c r="L710" s="2496"/>
      <c r="M710" s="2496"/>
      <c r="N710" s="2496"/>
    </row>
    <row r="711" spans="1:226" s="2485" customFormat="1" ht="15" hidden="1" customHeight="1">
      <c r="A711" s="3112"/>
      <c r="B711" s="3113"/>
      <c r="C711" s="3114"/>
      <c r="D711" s="3134"/>
      <c r="E711" s="2486" t="s">
        <v>739</v>
      </c>
      <c r="F711" s="2487">
        <f>SUM(F712,F715)</f>
        <v>0</v>
      </c>
      <c r="G711" s="2487">
        <f>SUM(G712,G715)</f>
        <v>0</v>
      </c>
      <c r="H711" s="2487">
        <f>SUM(H712,H715)</f>
        <v>0</v>
      </c>
      <c r="I711" s="2487">
        <f>SUM(I712,I715)</f>
        <v>0</v>
      </c>
      <c r="J711" s="2488">
        <f>SUM(J712,J715)</f>
        <v>0</v>
      </c>
      <c r="K711" s="2482"/>
      <c r="L711" s="2496"/>
      <c r="M711" s="2496"/>
      <c r="N711" s="2496"/>
    </row>
    <row r="712" spans="1:226" s="2485" customFormat="1" ht="15" hidden="1" customHeight="1">
      <c r="A712" s="3112"/>
      <c r="B712" s="3113"/>
      <c r="C712" s="3114"/>
      <c r="D712" s="3134"/>
      <c r="E712" s="2497" t="s">
        <v>1093</v>
      </c>
      <c r="F712" s="2498">
        <f>SUM(F713:F714)</f>
        <v>0</v>
      </c>
      <c r="G712" s="2498">
        <f>SUM(G713:G714)</f>
        <v>0</v>
      </c>
      <c r="H712" s="2498">
        <f>SUM(H713:H714)</f>
        <v>0</v>
      </c>
      <c r="I712" s="2498">
        <f>SUM(I713:I714)</f>
        <v>0</v>
      </c>
      <c r="J712" s="2499">
        <f>SUM(J713:J714)</f>
        <v>0</v>
      </c>
      <c r="K712" s="2482"/>
    </row>
    <row r="713" spans="1:226" s="2485" customFormat="1" ht="15" hidden="1" customHeight="1">
      <c r="A713" s="3112"/>
      <c r="B713" s="3113"/>
      <c r="C713" s="3114"/>
      <c r="D713" s="3134"/>
      <c r="E713" s="2489"/>
      <c r="F713" s="2490">
        <f>SUM(G713:J713)</f>
        <v>0</v>
      </c>
      <c r="G713" s="2490"/>
      <c r="H713" s="2490"/>
      <c r="I713" s="2490"/>
      <c r="J713" s="2491"/>
      <c r="K713" s="2482"/>
    </row>
    <row r="714" spans="1:226" s="2485" customFormat="1" ht="15" hidden="1" customHeight="1">
      <c r="A714" s="3112"/>
      <c r="B714" s="3113"/>
      <c r="C714" s="3114"/>
      <c r="D714" s="3134"/>
      <c r="E714" s="2489"/>
      <c r="F714" s="2490">
        <f>SUM(G714:J714)</f>
        <v>0</v>
      </c>
      <c r="G714" s="2490"/>
      <c r="H714" s="2490"/>
      <c r="I714" s="2490"/>
      <c r="J714" s="2491"/>
      <c r="K714" s="2482"/>
    </row>
    <row r="715" spans="1:226" s="2485" customFormat="1" ht="15" hidden="1" customHeight="1">
      <c r="A715" s="3112"/>
      <c r="B715" s="3113"/>
      <c r="C715" s="3114"/>
      <c r="D715" s="3134"/>
      <c r="E715" s="2497" t="s">
        <v>1094</v>
      </c>
      <c r="F715" s="2498">
        <f>SUM(F716:F717)</f>
        <v>0</v>
      </c>
      <c r="G715" s="2498">
        <f>SUM(G716:G717)</f>
        <v>0</v>
      </c>
      <c r="H715" s="2498">
        <f>SUM(H716:H717)</f>
        <v>0</v>
      </c>
      <c r="I715" s="2498">
        <f>SUM(I716:I717)</f>
        <v>0</v>
      </c>
      <c r="J715" s="2499">
        <f>SUM(J716:J717)</f>
        <v>0</v>
      </c>
      <c r="K715" s="2482"/>
    </row>
    <row r="716" spans="1:226" s="2485" customFormat="1" ht="15" hidden="1" customHeight="1">
      <c r="A716" s="3112"/>
      <c r="B716" s="3113"/>
      <c r="C716" s="3114"/>
      <c r="D716" s="3134"/>
      <c r="E716" s="2489"/>
      <c r="F716" s="2490">
        <f>SUM(G716:J716)</f>
        <v>0</v>
      </c>
      <c r="G716" s="2490"/>
      <c r="H716" s="2490"/>
      <c r="I716" s="2490"/>
      <c r="J716" s="2491"/>
      <c r="K716" s="2482"/>
    </row>
    <row r="717" spans="1:226" s="2485" customFormat="1" ht="15" hidden="1" customHeight="1">
      <c r="A717" s="3112"/>
      <c r="B717" s="3113"/>
      <c r="C717" s="3114"/>
      <c r="D717" s="3134"/>
      <c r="E717" s="2489"/>
      <c r="F717" s="2490">
        <f>SUM(G717:J717)</f>
        <v>0</v>
      </c>
      <c r="G717" s="2490"/>
      <c r="H717" s="2490"/>
      <c r="I717" s="2490"/>
      <c r="J717" s="2491"/>
      <c r="K717" s="2482"/>
    </row>
    <row r="718" spans="1:226" s="2485" customFormat="1" ht="15" customHeight="1">
      <c r="A718" s="3112"/>
      <c r="B718" s="3113"/>
      <c r="C718" s="3114"/>
      <c r="D718" s="3134"/>
      <c r="E718" s="2492" t="s">
        <v>1087</v>
      </c>
      <c r="F718" s="2487">
        <f>SUM(F719:F724)</f>
        <v>5661139</v>
      </c>
      <c r="G718" s="2487">
        <f>SUM(G719:G724)</f>
        <v>1057600</v>
      </c>
      <c r="H718" s="2487">
        <f>SUM(H719:H724)</f>
        <v>3913008</v>
      </c>
      <c r="I718" s="2487">
        <f>SUM(I719:I724)</f>
        <v>690531</v>
      </c>
      <c r="J718" s="2488">
        <f>SUM(J719:J724)</f>
        <v>0</v>
      </c>
      <c r="K718" s="2482"/>
      <c r="L718" s="2496"/>
      <c r="M718" s="2496"/>
      <c r="N718" s="2496"/>
    </row>
    <row r="719" spans="1:226" s="2484" customFormat="1" ht="15" customHeight="1">
      <c r="A719" s="3112"/>
      <c r="B719" s="3113"/>
      <c r="C719" s="3114"/>
      <c r="D719" s="3134"/>
      <c r="E719" s="2489" t="s">
        <v>582</v>
      </c>
      <c r="F719" s="2490">
        <f>SUM(G719:J719)</f>
        <v>1057600</v>
      </c>
      <c r="G719" s="2490">
        <v>1057600</v>
      </c>
      <c r="H719" s="2490"/>
      <c r="I719" s="2490"/>
      <c r="J719" s="2491"/>
      <c r="K719" s="2482"/>
    </row>
    <row r="720" spans="1:226" s="2484" customFormat="1" ht="15" customHeight="1">
      <c r="A720" s="3112"/>
      <c r="B720" s="3113"/>
      <c r="C720" s="3114"/>
      <c r="D720" s="3134"/>
      <c r="E720" s="2489" t="s">
        <v>676</v>
      </c>
      <c r="F720" s="2490">
        <f t="shared" ref="F720:F723" si="77">SUM(G720:J720)</f>
        <v>3913008</v>
      </c>
      <c r="G720" s="2490"/>
      <c r="H720" s="2490">
        <v>3913008</v>
      </c>
      <c r="I720" s="2490"/>
      <c r="J720" s="2491"/>
      <c r="K720" s="2482"/>
      <c r="L720" s="2483"/>
    </row>
    <row r="721" spans="1:226" s="2484" customFormat="1" ht="15" customHeight="1">
      <c r="A721" s="3112"/>
      <c r="B721" s="3113"/>
      <c r="C721" s="3114"/>
      <c r="D721" s="3134"/>
      <c r="E721" s="2489" t="s">
        <v>677</v>
      </c>
      <c r="F721" s="2490">
        <f t="shared" si="77"/>
        <v>690531</v>
      </c>
      <c r="G721" s="2490"/>
      <c r="H721" s="2490"/>
      <c r="I721" s="2490">
        <v>690531</v>
      </c>
      <c r="J721" s="2491"/>
      <c r="K721" s="2482"/>
      <c r="L721" s="2483"/>
    </row>
    <row r="722" spans="1:226" s="2484" customFormat="1" ht="15" hidden="1" customHeight="1">
      <c r="A722" s="3112"/>
      <c r="B722" s="3113"/>
      <c r="C722" s="3114"/>
      <c r="D722" s="3134"/>
      <c r="E722" s="2489" t="s">
        <v>576</v>
      </c>
      <c r="F722" s="2490">
        <f t="shared" si="77"/>
        <v>0</v>
      </c>
      <c r="G722" s="2490"/>
      <c r="H722" s="2490"/>
      <c r="I722" s="2490"/>
      <c r="J722" s="2491"/>
      <c r="K722" s="2482"/>
      <c r="L722" s="2483"/>
    </row>
    <row r="723" spans="1:226" s="2485" customFormat="1" ht="15" hidden="1" customHeight="1">
      <c r="A723" s="3112"/>
      <c r="B723" s="3113"/>
      <c r="C723" s="3114"/>
      <c r="D723" s="3134"/>
      <c r="E723" s="2489" t="s">
        <v>655</v>
      </c>
      <c r="F723" s="2490">
        <f t="shared" si="77"/>
        <v>0</v>
      </c>
      <c r="G723" s="2490"/>
      <c r="H723" s="2490"/>
      <c r="I723" s="2490"/>
      <c r="J723" s="2491"/>
      <c r="K723" s="2482"/>
      <c r="L723" s="2484"/>
      <c r="M723" s="2484"/>
      <c r="N723" s="2484"/>
      <c r="O723" s="2484"/>
      <c r="P723" s="2484"/>
      <c r="Q723" s="2484"/>
      <c r="R723" s="2484"/>
      <c r="S723" s="2484"/>
      <c r="T723" s="2484"/>
      <c r="U723" s="2484"/>
      <c r="V723" s="2484"/>
      <c r="W723" s="2484"/>
      <c r="X723" s="2484"/>
      <c r="Y723" s="2484"/>
      <c r="Z723" s="2484"/>
      <c r="AA723" s="2484"/>
      <c r="AB723" s="2484"/>
      <c r="AC723" s="2484"/>
      <c r="AD723" s="2484"/>
      <c r="AE723" s="2484"/>
      <c r="AF723" s="2484"/>
      <c r="AG723" s="2484"/>
      <c r="AH723" s="2484"/>
      <c r="AI723" s="2484"/>
      <c r="AJ723" s="2484"/>
      <c r="AK723" s="2484"/>
      <c r="AL723" s="2484"/>
      <c r="AM723" s="2484"/>
      <c r="AN723" s="2484"/>
      <c r="AO723" s="2484"/>
      <c r="AP723" s="2484"/>
      <c r="AQ723" s="2484"/>
      <c r="AR723" s="2484"/>
      <c r="AS723" s="2484"/>
      <c r="AT723" s="2484"/>
      <c r="AU723" s="2484"/>
      <c r="AV723" s="2484"/>
      <c r="AW723" s="2484"/>
      <c r="AX723" s="2484"/>
      <c r="AY723" s="2484"/>
      <c r="AZ723" s="2484"/>
      <c r="BA723" s="2484"/>
      <c r="BB723" s="2484"/>
      <c r="BC723" s="2484"/>
      <c r="BD723" s="2484"/>
      <c r="BE723" s="2484"/>
      <c r="BF723" s="2484"/>
      <c r="BG723" s="2484"/>
      <c r="BH723" s="2484"/>
      <c r="BI723" s="2484"/>
      <c r="BJ723" s="2484"/>
      <c r="BK723" s="2484"/>
      <c r="BL723" s="2484"/>
      <c r="BM723" s="2484"/>
      <c r="BN723" s="2484"/>
      <c r="BO723" s="2484"/>
      <c r="BP723" s="2484"/>
      <c r="BQ723" s="2484"/>
      <c r="BR723" s="2484"/>
      <c r="BS723" s="2484"/>
      <c r="BT723" s="2484"/>
      <c r="BU723" s="2484"/>
      <c r="BV723" s="2484"/>
      <c r="BW723" s="2484"/>
      <c r="BX723" s="2484"/>
      <c r="BY723" s="2484"/>
      <c r="BZ723" s="2484"/>
      <c r="CA723" s="2484"/>
      <c r="CB723" s="2484"/>
      <c r="CC723" s="2484"/>
      <c r="CD723" s="2484"/>
      <c r="CE723" s="2484"/>
      <c r="CF723" s="2484"/>
      <c r="CG723" s="2484"/>
      <c r="CH723" s="2484"/>
      <c r="CI723" s="2484"/>
      <c r="CJ723" s="2484"/>
      <c r="CK723" s="2484"/>
      <c r="CL723" s="2484"/>
      <c r="CM723" s="2484"/>
      <c r="CN723" s="2484"/>
      <c r="CO723" s="2484"/>
      <c r="CP723" s="2484"/>
      <c r="CQ723" s="2484"/>
      <c r="CR723" s="2484"/>
      <c r="CS723" s="2484"/>
      <c r="CT723" s="2484"/>
      <c r="CU723" s="2484"/>
      <c r="CV723" s="2484"/>
      <c r="CW723" s="2484"/>
      <c r="CX723" s="2484"/>
      <c r="CY723" s="2484"/>
      <c r="CZ723" s="2484"/>
      <c r="DA723" s="2484"/>
      <c r="DB723" s="2484"/>
      <c r="DC723" s="2484"/>
      <c r="DD723" s="2484"/>
      <c r="DE723" s="2484"/>
      <c r="DF723" s="2484"/>
      <c r="DG723" s="2484"/>
      <c r="DH723" s="2484"/>
      <c r="DI723" s="2484"/>
      <c r="DJ723" s="2484"/>
      <c r="DK723" s="2484"/>
      <c r="DL723" s="2484"/>
      <c r="DM723" s="2484"/>
      <c r="DN723" s="2484"/>
      <c r="DO723" s="2484"/>
      <c r="DP723" s="2484"/>
      <c r="DQ723" s="2484"/>
      <c r="DR723" s="2484"/>
      <c r="DS723" s="2484"/>
      <c r="DT723" s="2484"/>
      <c r="DU723" s="2484"/>
      <c r="DV723" s="2484"/>
      <c r="DW723" s="2484"/>
      <c r="DX723" s="2484"/>
      <c r="DY723" s="2484"/>
      <c r="DZ723" s="2484"/>
      <c r="EA723" s="2484"/>
      <c r="EB723" s="2484"/>
      <c r="EC723" s="2484"/>
      <c r="ED723" s="2484"/>
      <c r="EE723" s="2484"/>
      <c r="EF723" s="2484"/>
      <c r="EG723" s="2484"/>
      <c r="EH723" s="2484"/>
      <c r="EI723" s="2484"/>
      <c r="EJ723" s="2484"/>
      <c r="EK723" s="2484"/>
      <c r="EL723" s="2484"/>
      <c r="EM723" s="2484"/>
      <c r="EN723" s="2484"/>
      <c r="EO723" s="2484"/>
      <c r="EP723" s="2484"/>
      <c r="EQ723" s="2484"/>
      <c r="ER723" s="2484"/>
      <c r="ES723" s="2484"/>
      <c r="ET723" s="2484"/>
      <c r="EU723" s="2484"/>
      <c r="EV723" s="2484"/>
      <c r="EW723" s="2484"/>
      <c r="EX723" s="2484"/>
      <c r="EY723" s="2484"/>
      <c r="EZ723" s="2484"/>
      <c r="FA723" s="2484"/>
      <c r="FB723" s="2484"/>
      <c r="FC723" s="2484"/>
      <c r="FD723" s="2484"/>
      <c r="FE723" s="2484"/>
      <c r="FF723" s="2484"/>
      <c r="FG723" s="2484"/>
      <c r="FH723" s="2484"/>
      <c r="FI723" s="2484"/>
      <c r="FJ723" s="2484"/>
      <c r="FK723" s="2484"/>
      <c r="FL723" s="2484"/>
      <c r="FM723" s="2484"/>
      <c r="FN723" s="2484"/>
      <c r="FO723" s="2484"/>
      <c r="FP723" s="2484"/>
      <c r="FQ723" s="2484"/>
      <c r="FR723" s="2484"/>
      <c r="FS723" s="2484"/>
      <c r="FT723" s="2484"/>
      <c r="FU723" s="2484"/>
      <c r="FV723" s="2484"/>
      <c r="FW723" s="2484"/>
      <c r="FX723" s="2484"/>
      <c r="FY723" s="2484"/>
      <c r="FZ723" s="2484"/>
      <c r="GA723" s="2484"/>
      <c r="GB723" s="2484"/>
      <c r="GC723" s="2484"/>
      <c r="GD723" s="2484"/>
      <c r="GE723" s="2484"/>
      <c r="GF723" s="2484"/>
      <c r="GG723" s="2484"/>
      <c r="GH723" s="2484"/>
      <c r="GI723" s="2484"/>
      <c r="GJ723" s="2484"/>
      <c r="GK723" s="2484"/>
      <c r="GL723" s="2484"/>
      <c r="GM723" s="2484"/>
      <c r="GN723" s="2484"/>
      <c r="GO723" s="2484"/>
      <c r="GP723" s="2484"/>
      <c r="GQ723" s="2484"/>
      <c r="GR723" s="2484"/>
      <c r="GS723" s="2484"/>
      <c r="GT723" s="2484"/>
      <c r="GU723" s="2484"/>
      <c r="GV723" s="2484"/>
      <c r="GW723" s="2484"/>
      <c r="GX723" s="2484"/>
      <c r="GY723" s="2484"/>
      <c r="GZ723" s="2484"/>
      <c r="HA723" s="2484"/>
      <c r="HB723" s="2484"/>
      <c r="HC723" s="2484"/>
      <c r="HD723" s="2484"/>
      <c r="HE723" s="2484"/>
      <c r="HF723" s="2484"/>
      <c r="HG723" s="2484"/>
      <c r="HH723" s="2484"/>
      <c r="HI723" s="2484"/>
      <c r="HJ723" s="2484"/>
      <c r="HK723" s="2484"/>
      <c r="HL723" s="2484"/>
      <c r="HM723" s="2484"/>
      <c r="HN723" s="2484"/>
      <c r="HO723" s="2484"/>
      <c r="HP723" s="2484"/>
      <c r="HQ723" s="2484"/>
      <c r="HR723" s="2484"/>
    </row>
    <row r="724" spans="1:226" s="2485" customFormat="1" ht="15" hidden="1" customHeight="1">
      <c r="A724" s="3112"/>
      <c r="B724" s="3113"/>
      <c r="C724" s="3114"/>
      <c r="D724" s="3134"/>
      <c r="E724" s="2503">
        <v>6069</v>
      </c>
      <c r="F724" s="2490">
        <f>SUM(G724:J724)</f>
        <v>0</v>
      </c>
      <c r="G724" s="2490"/>
      <c r="H724" s="2490"/>
      <c r="I724" s="2490"/>
      <c r="J724" s="2491"/>
      <c r="K724" s="2482"/>
    </row>
    <row r="725" spans="1:226" s="2485" customFormat="1" ht="22.5">
      <c r="A725" s="3112" t="s">
        <v>1088</v>
      </c>
      <c r="B725" s="3113" t="s">
        <v>1160</v>
      </c>
      <c r="C725" s="3114">
        <v>600</v>
      </c>
      <c r="D725" s="3134" t="s">
        <v>682</v>
      </c>
      <c r="E725" s="2479" t="s">
        <v>1086</v>
      </c>
      <c r="F725" s="2480">
        <f>SUM(F726,F733)</f>
        <v>12527725</v>
      </c>
      <c r="G725" s="2480">
        <f>SUM(G726,G733)</f>
        <v>2549104</v>
      </c>
      <c r="H725" s="2480">
        <f>SUM(H726,H733)</f>
        <v>9978621</v>
      </c>
      <c r="I725" s="2480">
        <f>SUM(I726,I733)</f>
        <v>0</v>
      </c>
      <c r="J725" s="2481">
        <f>SUM(J726,J733)</f>
        <v>0</v>
      </c>
      <c r="K725" s="2482"/>
    </row>
    <row r="726" spans="1:226" s="2485" customFormat="1" ht="15" customHeight="1">
      <c r="A726" s="3112"/>
      <c r="B726" s="3113"/>
      <c r="C726" s="3114"/>
      <c r="D726" s="3134"/>
      <c r="E726" s="2486" t="s">
        <v>739</v>
      </c>
      <c r="F726" s="2487">
        <f>SUM(F727,F730)</f>
        <v>0</v>
      </c>
      <c r="G726" s="2487">
        <f>SUM(G727,G730)</f>
        <v>0</v>
      </c>
      <c r="H726" s="2487">
        <f>SUM(H727,H730)</f>
        <v>0</v>
      </c>
      <c r="I726" s="2487">
        <f>SUM(I727,I730)</f>
        <v>0</v>
      </c>
      <c r="J726" s="2488">
        <f>SUM(J727,J730)</f>
        <v>0</v>
      </c>
      <c r="K726" s="2482"/>
    </row>
    <row r="727" spans="1:226" s="2485" customFormat="1" ht="15" hidden="1" customHeight="1">
      <c r="A727" s="3112"/>
      <c r="B727" s="3113"/>
      <c r="C727" s="3114"/>
      <c r="D727" s="3134"/>
      <c r="E727" s="2497" t="s">
        <v>1093</v>
      </c>
      <c r="F727" s="2498">
        <f>SUM(F728:F729)</f>
        <v>0</v>
      </c>
      <c r="G727" s="2498">
        <f>SUM(G728:G729)</f>
        <v>0</v>
      </c>
      <c r="H727" s="2498">
        <f>SUM(H728:H729)</f>
        <v>0</v>
      </c>
      <c r="I727" s="2498">
        <f>SUM(I728:I729)</f>
        <v>0</v>
      </c>
      <c r="J727" s="2499">
        <f>SUM(J728:J729)</f>
        <v>0</v>
      </c>
      <c r="K727" s="2482"/>
    </row>
    <row r="728" spans="1:226" s="2485" customFormat="1" ht="15" hidden="1" customHeight="1">
      <c r="A728" s="3112"/>
      <c r="B728" s="3113"/>
      <c r="C728" s="3114"/>
      <c r="D728" s="3134"/>
      <c r="E728" s="2489"/>
      <c r="F728" s="2490">
        <f>SUM(G728:J728)</f>
        <v>0</v>
      </c>
      <c r="G728" s="2490"/>
      <c r="H728" s="2490"/>
      <c r="I728" s="2490"/>
      <c r="J728" s="2491"/>
      <c r="K728" s="2482"/>
    </row>
    <row r="729" spans="1:226" s="2485" customFormat="1" ht="15" hidden="1" customHeight="1">
      <c r="A729" s="3112"/>
      <c r="B729" s="3113"/>
      <c r="C729" s="3114"/>
      <c r="D729" s="3134"/>
      <c r="E729" s="2489"/>
      <c r="F729" s="2490">
        <f>SUM(G729:J729)</f>
        <v>0</v>
      </c>
      <c r="G729" s="2490"/>
      <c r="H729" s="2490"/>
      <c r="I729" s="2490"/>
      <c r="J729" s="2491"/>
      <c r="K729" s="2482"/>
    </row>
    <row r="730" spans="1:226" s="2485" customFormat="1" ht="15" hidden="1" customHeight="1">
      <c r="A730" s="3112"/>
      <c r="B730" s="3113"/>
      <c r="C730" s="3114"/>
      <c r="D730" s="3134"/>
      <c r="E730" s="2497" t="s">
        <v>1094</v>
      </c>
      <c r="F730" s="2498">
        <f>SUM(F731:F732)</f>
        <v>0</v>
      </c>
      <c r="G730" s="2498">
        <f>SUM(G731:G732)</f>
        <v>0</v>
      </c>
      <c r="H730" s="2498">
        <f>SUM(H731:H732)</f>
        <v>0</v>
      </c>
      <c r="I730" s="2498">
        <f>SUM(I731:I732)</f>
        <v>0</v>
      </c>
      <c r="J730" s="2499">
        <f>SUM(J731:J732)</f>
        <v>0</v>
      </c>
      <c r="K730" s="2482"/>
    </row>
    <row r="731" spans="1:226" s="2485" customFormat="1" ht="15" hidden="1" customHeight="1">
      <c r="A731" s="3112"/>
      <c r="B731" s="3113"/>
      <c r="C731" s="3114"/>
      <c r="D731" s="3134"/>
      <c r="E731" s="2489"/>
      <c r="F731" s="2490">
        <f>SUM(G731:J731)</f>
        <v>0</v>
      </c>
      <c r="G731" s="2490"/>
      <c r="H731" s="2490"/>
      <c r="I731" s="2490"/>
      <c r="J731" s="2491"/>
      <c r="K731" s="2482"/>
    </row>
    <row r="732" spans="1:226" s="2485" customFormat="1" ht="15" hidden="1" customHeight="1">
      <c r="A732" s="3112"/>
      <c r="B732" s="3113"/>
      <c r="C732" s="3114"/>
      <c r="D732" s="3134"/>
      <c r="E732" s="2489"/>
      <c r="F732" s="2490">
        <f>SUM(G732:J732)</f>
        <v>0</v>
      </c>
      <c r="G732" s="2490"/>
      <c r="H732" s="2490"/>
      <c r="I732" s="2490"/>
      <c r="J732" s="2491"/>
      <c r="K732" s="2482"/>
    </row>
    <row r="733" spans="1:226" s="2485" customFormat="1" ht="15" customHeight="1">
      <c r="A733" s="3112"/>
      <c r="B733" s="3113"/>
      <c r="C733" s="3114"/>
      <c r="D733" s="3134"/>
      <c r="E733" s="2492" t="s">
        <v>1087</v>
      </c>
      <c r="F733" s="2487">
        <f>SUM(F734:F739)</f>
        <v>12527725</v>
      </c>
      <c r="G733" s="2487">
        <f>SUM(G734:G739)</f>
        <v>2549104</v>
      </c>
      <c r="H733" s="2487">
        <f>SUM(H734:H739)</f>
        <v>9978621</v>
      </c>
      <c r="I733" s="2487">
        <f>SUM(I734:I739)</f>
        <v>0</v>
      </c>
      <c r="J733" s="2488">
        <f>SUM(J734:J739)</f>
        <v>0</v>
      </c>
      <c r="K733" s="2482"/>
    </row>
    <row r="734" spans="1:226" s="2484" customFormat="1" ht="15" customHeight="1">
      <c r="A734" s="3112"/>
      <c r="B734" s="3113"/>
      <c r="C734" s="3114"/>
      <c r="D734" s="3134"/>
      <c r="E734" s="2489" t="s">
        <v>582</v>
      </c>
      <c r="F734" s="2490">
        <f>SUM(G734:J734)</f>
        <v>788171</v>
      </c>
      <c r="G734" s="2490">
        <v>788171</v>
      </c>
      <c r="H734" s="2490"/>
      <c r="I734" s="2490"/>
      <c r="J734" s="2491"/>
      <c r="K734" s="2482"/>
    </row>
    <row r="735" spans="1:226" s="2485" customFormat="1" ht="15" customHeight="1">
      <c r="A735" s="3112"/>
      <c r="B735" s="3113"/>
      <c r="C735" s="3114"/>
      <c r="D735" s="3134"/>
      <c r="E735" s="2489" t="s">
        <v>676</v>
      </c>
      <c r="F735" s="2490">
        <f>SUM(G735:J735)</f>
        <v>9978621</v>
      </c>
      <c r="G735" s="2490"/>
      <c r="H735" s="2490">
        <f>8376348+1602273</f>
        <v>9978621</v>
      </c>
      <c r="I735" s="2490"/>
      <c r="J735" s="2491"/>
      <c r="K735" s="2482"/>
      <c r="L735" s="2484"/>
      <c r="M735" s="2484"/>
      <c r="N735" s="2484"/>
      <c r="O735" s="2484"/>
      <c r="P735" s="2484"/>
      <c r="Q735" s="2484"/>
      <c r="R735" s="2484"/>
      <c r="S735" s="2484"/>
      <c r="T735" s="2484"/>
      <c r="U735" s="2484"/>
      <c r="V735" s="2484"/>
      <c r="W735" s="2484"/>
      <c r="X735" s="2484"/>
      <c r="Y735" s="2484"/>
      <c r="Z735" s="2484"/>
      <c r="AA735" s="2484"/>
      <c r="AB735" s="2484"/>
      <c r="AC735" s="2484"/>
      <c r="AD735" s="2484"/>
      <c r="AE735" s="2484"/>
      <c r="AF735" s="2484"/>
      <c r="AG735" s="2484"/>
      <c r="AH735" s="2484"/>
      <c r="AI735" s="2484"/>
      <c r="AJ735" s="2484"/>
      <c r="AK735" s="2484"/>
      <c r="AL735" s="2484"/>
      <c r="AM735" s="2484"/>
      <c r="AN735" s="2484"/>
      <c r="AO735" s="2484"/>
      <c r="AP735" s="2484"/>
      <c r="AQ735" s="2484"/>
      <c r="AR735" s="2484"/>
      <c r="AS735" s="2484"/>
      <c r="AT735" s="2484"/>
      <c r="AU735" s="2484"/>
      <c r="AV735" s="2484"/>
      <c r="AW735" s="2484"/>
      <c r="AX735" s="2484"/>
      <c r="AY735" s="2484"/>
      <c r="AZ735" s="2484"/>
      <c r="BA735" s="2484"/>
      <c r="BB735" s="2484"/>
      <c r="BC735" s="2484"/>
      <c r="BD735" s="2484"/>
      <c r="BE735" s="2484"/>
      <c r="BF735" s="2484"/>
      <c r="BG735" s="2484"/>
      <c r="BH735" s="2484"/>
      <c r="BI735" s="2484"/>
      <c r="BJ735" s="2484"/>
      <c r="BK735" s="2484"/>
      <c r="BL735" s="2484"/>
      <c r="BM735" s="2484"/>
      <c r="BN735" s="2484"/>
      <c r="BO735" s="2484"/>
      <c r="BP735" s="2484"/>
      <c r="BQ735" s="2484"/>
      <c r="BR735" s="2484"/>
      <c r="BS735" s="2484"/>
      <c r="BT735" s="2484"/>
      <c r="BU735" s="2484"/>
      <c r="BV735" s="2484"/>
      <c r="BW735" s="2484"/>
      <c r="BX735" s="2484"/>
      <c r="BY735" s="2484"/>
      <c r="BZ735" s="2484"/>
      <c r="CA735" s="2484"/>
      <c r="CB735" s="2484"/>
      <c r="CC735" s="2484"/>
      <c r="CD735" s="2484"/>
      <c r="CE735" s="2484"/>
      <c r="CF735" s="2484"/>
      <c r="CG735" s="2484"/>
      <c r="CH735" s="2484"/>
      <c r="CI735" s="2484"/>
      <c r="CJ735" s="2484"/>
      <c r="CK735" s="2484"/>
      <c r="CL735" s="2484"/>
      <c r="CM735" s="2484"/>
      <c r="CN735" s="2484"/>
      <c r="CO735" s="2484"/>
      <c r="CP735" s="2484"/>
      <c r="CQ735" s="2484"/>
      <c r="CR735" s="2484"/>
      <c r="CS735" s="2484"/>
      <c r="CT735" s="2484"/>
      <c r="CU735" s="2484"/>
      <c r="CV735" s="2484"/>
      <c r="CW735" s="2484"/>
      <c r="CX735" s="2484"/>
      <c r="CY735" s="2484"/>
      <c r="CZ735" s="2484"/>
      <c r="DA735" s="2484"/>
      <c r="DB735" s="2484"/>
      <c r="DC735" s="2484"/>
      <c r="DD735" s="2484"/>
      <c r="DE735" s="2484"/>
      <c r="DF735" s="2484"/>
      <c r="DG735" s="2484"/>
      <c r="DH735" s="2484"/>
      <c r="DI735" s="2484"/>
      <c r="DJ735" s="2484"/>
      <c r="DK735" s="2484"/>
      <c r="DL735" s="2484"/>
      <c r="DM735" s="2484"/>
      <c r="DN735" s="2484"/>
      <c r="DO735" s="2484"/>
      <c r="DP735" s="2484"/>
      <c r="DQ735" s="2484"/>
      <c r="DR735" s="2484"/>
      <c r="DS735" s="2484"/>
      <c r="DT735" s="2484"/>
      <c r="DU735" s="2484"/>
      <c r="DV735" s="2484"/>
      <c r="DW735" s="2484"/>
      <c r="DX735" s="2484"/>
      <c r="DY735" s="2484"/>
      <c r="DZ735" s="2484"/>
      <c r="EA735" s="2484"/>
      <c r="EB735" s="2484"/>
      <c r="EC735" s="2484"/>
      <c r="ED735" s="2484"/>
      <c r="EE735" s="2484"/>
      <c r="EF735" s="2484"/>
      <c r="EG735" s="2484"/>
      <c r="EH735" s="2484"/>
      <c r="EI735" s="2484"/>
      <c r="EJ735" s="2484"/>
      <c r="EK735" s="2484"/>
      <c r="EL735" s="2484"/>
      <c r="EM735" s="2484"/>
      <c r="EN735" s="2484"/>
      <c r="EO735" s="2484"/>
      <c r="EP735" s="2484"/>
      <c r="EQ735" s="2484"/>
      <c r="ER735" s="2484"/>
      <c r="ES735" s="2484"/>
      <c r="ET735" s="2484"/>
      <c r="EU735" s="2484"/>
      <c r="EV735" s="2484"/>
      <c r="EW735" s="2484"/>
      <c r="EX735" s="2484"/>
      <c r="EY735" s="2484"/>
      <c r="EZ735" s="2484"/>
      <c r="FA735" s="2484"/>
      <c r="FB735" s="2484"/>
      <c r="FC735" s="2484"/>
      <c r="FD735" s="2484"/>
      <c r="FE735" s="2484"/>
      <c r="FF735" s="2484"/>
      <c r="FG735" s="2484"/>
      <c r="FH735" s="2484"/>
      <c r="FI735" s="2484"/>
      <c r="FJ735" s="2484"/>
      <c r="FK735" s="2484"/>
      <c r="FL735" s="2484"/>
      <c r="FM735" s="2484"/>
      <c r="FN735" s="2484"/>
      <c r="FO735" s="2484"/>
      <c r="FP735" s="2484"/>
      <c r="FQ735" s="2484"/>
      <c r="FR735" s="2484"/>
      <c r="FS735" s="2484"/>
      <c r="FT735" s="2484"/>
      <c r="FU735" s="2484"/>
      <c r="FV735" s="2484"/>
      <c r="FW735" s="2484"/>
      <c r="FX735" s="2484"/>
      <c r="FY735" s="2484"/>
      <c r="FZ735" s="2484"/>
      <c r="GA735" s="2484"/>
      <c r="GB735" s="2484"/>
      <c r="GC735" s="2484"/>
      <c r="GD735" s="2484"/>
      <c r="GE735" s="2484"/>
      <c r="GF735" s="2484"/>
      <c r="GG735" s="2484"/>
      <c r="GH735" s="2484"/>
      <c r="GI735" s="2484"/>
      <c r="GJ735" s="2484"/>
      <c r="GK735" s="2484"/>
      <c r="GL735" s="2484"/>
      <c r="GM735" s="2484"/>
      <c r="GN735" s="2484"/>
      <c r="GO735" s="2484"/>
      <c r="GP735" s="2484"/>
      <c r="GQ735" s="2484"/>
      <c r="GR735" s="2484"/>
      <c r="GS735" s="2484"/>
      <c r="GT735" s="2484"/>
      <c r="GU735" s="2484"/>
      <c r="GV735" s="2484"/>
      <c r="GW735" s="2484"/>
      <c r="GX735" s="2484"/>
      <c r="GY735" s="2484"/>
      <c r="GZ735" s="2484"/>
      <c r="HA735" s="2484"/>
      <c r="HB735" s="2484"/>
      <c r="HC735" s="2484"/>
      <c r="HD735" s="2484"/>
      <c r="HE735" s="2484"/>
      <c r="HF735" s="2484"/>
      <c r="HG735" s="2484"/>
      <c r="HH735" s="2484"/>
      <c r="HI735" s="2484"/>
      <c r="HJ735" s="2484"/>
      <c r="HK735" s="2484"/>
      <c r="HL735" s="2484"/>
      <c r="HM735" s="2484"/>
      <c r="HN735" s="2484"/>
      <c r="HO735" s="2484"/>
      <c r="HP735" s="2484"/>
      <c r="HQ735" s="2484"/>
      <c r="HR735" s="2484"/>
    </row>
    <row r="736" spans="1:226" s="2485" customFormat="1" ht="15" customHeight="1">
      <c r="A736" s="3112"/>
      <c r="B736" s="3113"/>
      <c r="C736" s="3114"/>
      <c r="D736" s="3134"/>
      <c r="E736" s="2503">
        <v>6059</v>
      </c>
      <c r="F736" s="2490">
        <f>SUM(G736:J736)</f>
        <v>1760933</v>
      </c>
      <c r="G736" s="2490">
        <f>1478179+282754</f>
        <v>1760933</v>
      </c>
      <c r="H736" s="2490"/>
      <c r="I736" s="2490"/>
      <c r="J736" s="2491"/>
      <c r="K736" s="2482"/>
    </row>
    <row r="737" spans="1:226" s="2485" customFormat="1" ht="15" hidden="1" customHeight="1">
      <c r="A737" s="3112"/>
      <c r="B737" s="3113"/>
      <c r="C737" s="3114"/>
      <c r="D737" s="3134"/>
      <c r="E737" s="2503">
        <v>6060</v>
      </c>
      <c r="F737" s="2490">
        <f t="shared" ref="F737:F739" si="78">SUM(G737:J737)</f>
        <v>0</v>
      </c>
      <c r="G737" s="2490"/>
      <c r="H737" s="2490"/>
      <c r="I737" s="2490"/>
      <c r="J737" s="2491"/>
      <c r="K737" s="2482"/>
    </row>
    <row r="738" spans="1:226" s="2485" customFormat="1" ht="15" hidden="1" customHeight="1">
      <c r="A738" s="3112"/>
      <c r="B738" s="3113"/>
      <c r="C738" s="3114"/>
      <c r="D738" s="3134"/>
      <c r="E738" s="2489" t="s">
        <v>655</v>
      </c>
      <c r="F738" s="2490">
        <f t="shared" si="78"/>
        <v>0</v>
      </c>
      <c r="G738" s="2490"/>
      <c r="H738" s="2490"/>
      <c r="I738" s="2490"/>
      <c r="J738" s="2491"/>
      <c r="K738" s="2482"/>
    </row>
    <row r="739" spans="1:226" s="2485" customFormat="1" ht="15" hidden="1" customHeight="1">
      <c r="A739" s="3112"/>
      <c r="B739" s="3113"/>
      <c r="C739" s="3114"/>
      <c r="D739" s="3134"/>
      <c r="E739" s="2503">
        <v>6069</v>
      </c>
      <c r="F739" s="2490">
        <f t="shared" si="78"/>
        <v>0</v>
      </c>
      <c r="G739" s="2490"/>
      <c r="H739" s="2490"/>
      <c r="I739" s="2490"/>
      <c r="J739" s="2491"/>
      <c r="K739" s="2482"/>
    </row>
    <row r="740" spans="1:226" s="2485" customFormat="1" ht="22.5">
      <c r="A740" s="3112" t="s">
        <v>1090</v>
      </c>
      <c r="B740" s="3113" t="s">
        <v>1161</v>
      </c>
      <c r="C740" s="3114">
        <v>600</v>
      </c>
      <c r="D740" s="3134" t="s">
        <v>682</v>
      </c>
      <c r="E740" s="2479" t="s">
        <v>1086</v>
      </c>
      <c r="F740" s="2480">
        <f>SUM(F741,F748)</f>
        <v>24043865</v>
      </c>
      <c r="G740" s="2480">
        <f>SUM(G741,G748)</f>
        <v>162</v>
      </c>
      <c r="H740" s="2480">
        <f>SUM(H741,H748)</f>
        <v>20202234</v>
      </c>
      <c r="I740" s="2480">
        <f>SUM(I741,I748)</f>
        <v>0</v>
      </c>
      <c r="J740" s="2481">
        <f>SUM(J741,J748)</f>
        <v>3841469</v>
      </c>
      <c r="K740" s="2482"/>
    </row>
    <row r="741" spans="1:226" s="2485" customFormat="1" ht="15" customHeight="1">
      <c r="A741" s="3112"/>
      <c r="B741" s="3113"/>
      <c r="C741" s="3114"/>
      <c r="D741" s="3134"/>
      <c r="E741" s="2486" t="s">
        <v>739</v>
      </c>
      <c r="F741" s="2487">
        <f>SUM(F742,F745)</f>
        <v>0</v>
      </c>
      <c r="G741" s="2487">
        <f>SUM(G742,G745)</f>
        <v>0</v>
      </c>
      <c r="H741" s="2487">
        <f>SUM(H742,H745)</f>
        <v>0</v>
      </c>
      <c r="I741" s="2487">
        <f>SUM(I742,I745)</f>
        <v>0</v>
      </c>
      <c r="J741" s="2488">
        <f>SUM(J742,J745)</f>
        <v>0</v>
      </c>
      <c r="K741" s="2482"/>
    </row>
    <row r="742" spans="1:226" s="2485" customFormat="1" ht="15" hidden="1" customHeight="1">
      <c r="A742" s="3112"/>
      <c r="B742" s="3113"/>
      <c r="C742" s="3114"/>
      <c r="D742" s="3134"/>
      <c r="E742" s="2497" t="s">
        <v>1093</v>
      </c>
      <c r="F742" s="2498">
        <f>SUM(F743:F744)</f>
        <v>0</v>
      </c>
      <c r="G742" s="2498">
        <f>SUM(G743:G744)</f>
        <v>0</v>
      </c>
      <c r="H742" s="2498">
        <f>SUM(H743:H744)</f>
        <v>0</v>
      </c>
      <c r="I742" s="2498">
        <f>SUM(I743:I744)</f>
        <v>0</v>
      </c>
      <c r="J742" s="2499">
        <f>SUM(J743:J744)</f>
        <v>0</v>
      </c>
      <c r="K742" s="2482"/>
    </row>
    <row r="743" spans="1:226" s="2485" customFormat="1" ht="15" hidden="1" customHeight="1">
      <c r="A743" s="3112"/>
      <c r="B743" s="3113"/>
      <c r="C743" s="3114"/>
      <c r="D743" s="3134"/>
      <c r="E743" s="2489"/>
      <c r="F743" s="2490">
        <f>SUM(G743:J743)</f>
        <v>0</v>
      </c>
      <c r="G743" s="2490"/>
      <c r="H743" s="2490"/>
      <c r="I743" s="2490"/>
      <c r="J743" s="2491"/>
      <c r="K743" s="2482"/>
    </row>
    <row r="744" spans="1:226" s="2485" customFormat="1" ht="15" hidden="1" customHeight="1">
      <c r="A744" s="3112"/>
      <c r="B744" s="3113"/>
      <c r="C744" s="3114"/>
      <c r="D744" s="3134"/>
      <c r="E744" s="2489"/>
      <c r="F744" s="2490">
        <f>SUM(G744:J744)</f>
        <v>0</v>
      </c>
      <c r="G744" s="2490"/>
      <c r="H744" s="2490"/>
      <c r="I744" s="2490"/>
      <c r="J744" s="2491"/>
      <c r="K744" s="2482"/>
    </row>
    <row r="745" spans="1:226" s="2485" customFormat="1" ht="15" hidden="1" customHeight="1">
      <c r="A745" s="3112"/>
      <c r="B745" s="3113"/>
      <c r="C745" s="3114"/>
      <c r="D745" s="3134"/>
      <c r="E745" s="2497" t="s">
        <v>1094</v>
      </c>
      <c r="F745" s="2498">
        <f>SUM(F746:F747)</f>
        <v>0</v>
      </c>
      <c r="G745" s="2498">
        <f>SUM(G746:G747)</f>
        <v>0</v>
      </c>
      <c r="H745" s="2498">
        <f>SUM(H746:H747)</f>
        <v>0</v>
      </c>
      <c r="I745" s="2498">
        <f>SUM(I746:I747)</f>
        <v>0</v>
      </c>
      <c r="J745" s="2499">
        <f>SUM(J746:J747)</f>
        <v>0</v>
      </c>
      <c r="K745" s="2482"/>
    </row>
    <row r="746" spans="1:226" s="2485" customFormat="1" ht="15" hidden="1" customHeight="1">
      <c r="A746" s="3112"/>
      <c r="B746" s="3113"/>
      <c r="C746" s="3114"/>
      <c r="D746" s="3134"/>
      <c r="E746" s="2489"/>
      <c r="F746" s="2490">
        <f>SUM(G746:J746)</f>
        <v>0</v>
      </c>
      <c r="G746" s="2490"/>
      <c r="H746" s="2490"/>
      <c r="I746" s="2490"/>
      <c r="J746" s="2491"/>
      <c r="K746" s="2482"/>
    </row>
    <row r="747" spans="1:226" s="2485" customFormat="1" ht="15" hidden="1" customHeight="1">
      <c r="A747" s="3112"/>
      <c r="B747" s="3113"/>
      <c r="C747" s="3114"/>
      <c r="D747" s="3134"/>
      <c r="E747" s="2489"/>
      <c r="F747" s="2490">
        <f>SUM(G747:J747)</f>
        <v>0</v>
      </c>
      <c r="G747" s="2490"/>
      <c r="H747" s="2490"/>
      <c r="I747" s="2490"/>
      <c r="J747" s="2491"/>
      <c r="K747" s="2482"/>
    </row>
    <row r="748" spans="1:226" s="2485" customFormat="1" ht="15" customHeight="1">
      <c r="A748" s="3112"/>
      <c r="B748" s="3113"/>
      <c r="C748" s="3114"/>
      <c r="D748" s="3134"/>
      <c r="E748" s="2492" t="s">
        <v>1087</v>
      </c>
      <c r="F748" s="2487">
        <f>SUM(F749:F754)</f>
        <v>24043865</v>
      </c>
      <c r="G748" s="2487">
        <f>SUM(G749:G754)</f>
        <v>162</v>
      </c>
      <c r="H748" s="2487">
        <f>SUM(H749:H754)</f>
        <v>20202234</v>
      </c>
      <c r="I748" s="2487">
        <f>SUM(I749:I754)</f>
        <v>0</v>
      </c>
      <c r="J748" s="2488">
        <f>SUM(J749:J754)</f>
        <v>3841469</v>
      </c>
      <c r="K748" s="2482"/>
    </row>
    <row r="749" spans="1:226" s="2484" customFormat="1" ht="15" customHeight="1">
      <c r="A749" s="3112"/>
      <c r="B749" s="3113"/>
      <c r="C749" s="3114"/>
      <c r="D749" s="3134"/>
      <c r="E749" s="2489" t="s">
        <v>582</v>
      </c>
      <c r="F749" s="2490">
        <f>SUM(G749:J749)</f>
        <v>78924</v>
      </c>
      <c r="G749" s="2490">
        <v>162</v>
      </c>
      <c r="H749" s="2490"/>
      <c r="I749" s="2490"/>
      <c r="J749" s="2491">
        <v>78762</v>
      </c>
      <c r="K749" s="2482"/>
    </row>
    <row r="750" spans="1:226" s="2485" customFormat="1" ht="15" customHeight="1">
      <c r="A750" s="3112"/>
      <c r="B750" s="3113"/>
      <c r="C750" s="3114"/>
      <c r="D750" s="3134"/>
      <c r="E750" s="2489" t="s">
        <v>676</v>
      </c>
      <c r="F750" s="2490">
        <f>SUM(G750:J750)</f>
        <v>18672234</v>
      </c>
      <c r="G750" s="2490"/>
      <c r="H750" s="2490">
        <v>18672234</v>
      </c>
      <c r="I750" s="2490"/>
      <c r="J750" s="2491"/>
      <c r="K750" s="2482"/>
      <c r="L750" s="2484"/>
      <c r="M750" s="2484"/>
      <c r="N750" s="2484"/>
      <c r="O750" s="2484"/>
      <c r="P750" s="2484"/>
      <c r="Q750" s="2484"/>
      <c r="R750" s="2484"/>
      <c r="S750" s="2484"/>
      <c r="T750" s="2484"/>
      <c r="U750" s="2484"/>
      <c r="V750" s="2484"/>
      <c r="W750" s="2484"/>
      <c r="X750" s="2484"/>
      <c r="Y750" s="2484"/>
      <c r="Z750" s="2484"/>
      <c r="AA750" s="2484"/>
      <c r="AB750" s="2484"/>
      <c r="AC750" s="2484"/>
      <c r="AD750" s="2484"/>
      <c r="AE750" s="2484"/>
      <c r="AF750" s="2484"/>
      <c r="AG750" s="2484"/>
      <c r="AH750" s="2484"/>
      <c r="AI750" s="2484"/>
      <c r="AJ750" s="2484"/>
      <c r="AK750" s="2484"/>
      <c r="AL750" s="2484"/>
      <c r="AM750" s="2484"/>
      <c r="AN750" s="2484"/>
      <c r="AO750" s="2484"/>
      <c r="AP750" s="2484"/>
      <c r="AQ750" s="2484"/>
      <c r="AR750" s="2484"/>
      <c r="AS750" s="2484"/>
      <c r="AT750" s="2484"/>
      <c r="AU750" s="2484"/>
      <c r="AV750" s="2484"/>
      <c r="AW750" s="2484"/>
      <c r="AX750" s="2484"/>
      <c r="AY750" s="2484"/>
      <c r="AZ750" s="2484"/>
      <c r="BA750" s="2484"/>
      <c r="BB750" s="2484"/>
      <c r="BC750" s="2484"/>
      <c r="BD750" s="2484"/>
      <c r="BE750" s="2484"/>
      <c r="BF750" s="2484"/>
      <c r="BG750" s="2484"/>
      <c r="BH750" s="2484"/>
      <c r="BI750" s="2484"/>
      <c r="BJ750" s="2484"/>
      <c r="BK750" s="2484"/>
      <c r="BL750" s="2484"/>
      <c r="BM750" s="2484"/>
      <c r="BN750" s="2484"/>
      <c r="BO750" s="2484"/>
      <c r="BP750" s="2484"/>
      <c r="BQ750" s="2484"/>
      <c r="BR750" s="2484"/>
      <c r="BS750" s="2484"/>
      <c r="BT750" s="2484"/>
      <c r="BU750" s="2484"/>
      <c r="BV750" s="2484"/>
      <c r="BW750" s="2484"/>
      <c r="BX750" s="2484"/>
      <c r="BY750" s="2484"/>
      <c r="BZ750" s="2484"/>
      <c r="CA750" s="2484"/>
      <c r="CB750" s="2484"/>
      <c r="CC750" s="2484"/>
      <c r="CD750" s="2484"/>
      <c r="CE750" s="2484"/>
      <c r="CF750" s="2484"/>
      <c r="CG750" s="2484"/>
      <c r="CH750" s="2484"/>
      <c r="CI750" s="2484"/>
      <c r="CJ750" s="2484"/>
      <c r="CK750" s="2484"/>
      <c r="CL750" s="2484"/>
      <c r="CM750" s="2484"/>
      <c r="CN750" s="2484"/>
      <c r="CO750" s="2484"/>
      <c r="CP750" s="2484"/>
      <c r="CQ750" s="2484"/>
      <c r="CR750" s="2484"/>
      <c r="CS750" s="2484"/>
      <c r="CT750" s="2484"/>
      <c r="CU750" s="2484"/>
      <c r="CV750" s="2484"/>
      <c r="CW750" s="2484"/>
      <c r="CX750" s="2484"/>
      <c r="CY750" s="2484"/>
      <c r="CZ750" s="2484"/>
      <c r="DA750" s="2484"/>
      <c r="DB750" s="2484"/>
      <c r="DC750" s="2484"/>
      <c r="DD750" s="2484"/>
      <c r="DE750" s="2484"/>
      <c r="DF750" s="2484"/>
      <c r="DG750" s="2484"/>
      <c r="DH750" s="2484"/>
      <c r="DI750" s="2484"/>
      <c r="DJ750" s="2484"/>
      <c r="DK750" s="2484"/>
      <c r="DL750" s="2484"/>
      <c r="DM750" s="2484"/>
      <c r="DN750" s="2484"/>
      <c r="DO750" s="2484"/>
      <c r="DP750" s="2484"/>
      <c r="DQ750" s="2484"/>
      <c r="DR750" s="2484"/>
      <c r="DS750" s="2484"/>
      <c r="DT750" s="2484"/>
      <c r="DU750" s="2484"/>
      <c r="DV750" s="2484"/>
      <c r="DW750" s="2484"/>
      <c r="DX750" s="2484"/>
      <c r="DY750" s="2484"/>
      <c r="DZ750" s="2484"/>
      <c r="EA750" s="2484"/>
      <c r="EB750" s="2484"/>
      <c r="EC750" s="2484"/>
      <c r="ED750" s="2484"/>
      <c r="EE750" s="2484"/>
      <c r="EF750" s="2484"/>
      <c r="EG750" s="2484"/>
      <c r="EH750" s="2484"/>
      <c r="EI750" s="2484"/>
      <c r="EJ750" s="2484"/>
      <c r="EK750" s="2484"/>
      <c r="EL750" s="2484"/>
      <c r="EM750" s="2484"/>
      <c r="EN750" s="2484"/>
      <c r="EO750" s="2484"/>
      <c r="EP750" s="2484"/>
      <c r="EQ750" s="2484"/>
      <c r="ER750" s="2484"/>
      <c r="ES750" s="2484"/>
      <c r="ET750" s="2484"/>
      <c r="EU750" s="2484"/>
      <c r="EV750" s="2484"/>
      <c r="EW750" s="2484"/>
      <c r="EX750" s="2484"/>
      <c r="EY750" s="2484"/>
      <c r="EZ750" s="2484"/>
      <c r="FA750" s="2484"/>
      <c r="FB750" s="2484"/>
      <c r="FC750" s="2484"/>
      <c r="FD750" s="2484"/>
      <c r="FE750" s="2484"/>
      <c r="FF750" s="2484"/>
      <c r="FG750" s="2484"/>
      <c r="FH750" s="2484"/>
      <c r="FI750" s="2484"/>
      <c r="FJ750" s="2484"/>
      <c r="FK750" s="2484"/>
      <c r="FL750" s="2484"/>
      <c r="FM750" s="2484"/>
      <c r="FN750" s="2484"/>
      <c r="FO750" s="2484"/>
      <c r="FP750" s="2484"/>
      <c r="FQ750" s="2484"/>
      <c r="FR750" s="2484"/>
      <c r="FS750" s="2484"/>
      <c r="FT750" s="2484"/>
      <c r="FU750" s="2484"/>
      <c r="FV750" s="2484"/>
      <c r="FW750" s="2484"/>
      <c r="FX750" s="2484"/>
      <c r="FY750" s="2484"/>
      <c r="FZ750" s="2484"/>
      <c r="GA750" s="2484"/>
      <c r="GB750" s="2484"/>
      <c r="GC750" s="2484"/>
      <c r="GD750" s="2484"/>
      <c r="GE750" s="2484"/>
      <c r="GF750" s="2484"/>
      <c r="GG750" s="2484"/>
      <c r="GH750" s="2484"/>
      <c r="GI750" s="2484"/>
      <c r="GJ750" s="2484"/>
      <c r="GK750" s="2484"/>
      <c r="GL750" s="2484"/>
      <c r="GM750" s="2484"/>
      <c r="GN750" s="2484"/>
      <c r="GO750" s="2484"/>
      <c r="GP750" s="2484"/>
      <c r="GQ750" s="2484"/>
      <c r="GR750" s="2484"/>
      <c r="GS750" s="2484"/>
      <c r="GT750" s="2484"/>
      <c r="GU750" s="2484"/>
      <c r="GV750" s="2484"/>
      <c r="GW750" s="2484"/>
      <c r="GX750" s="2484"/>
      <c r="GY750" s="2484"/>
      <c r="GZ750" s="2484"/>
      <c r="HA750" s="2484"/>
      <c r="HB750" s="2484"/>
      <c r="HC750" s="2484"/>
      <c r="HD750" s="2484"/>
      <c r="HE750" s="2484"/>
      <c r="HF750" s="2484"/>
      <c r="HG750" s="2484"/>
      <c r="HH750" s="2484"/>
      <c r="HI750" s="2484"/>
      <c r="HJ750" s="2484"/>
      <c r="HK750" s="2484"/>
      <c r="HL750" s="2484"/>
      <c r="HM750" s="2484"/>
      <c r="HN750" s="2484"/>
      <c r="HO750" s="2484"/>
      <c r="HP750" s="2484"/>
      <c r="HQ750" s="2484"/>
      <c r="HR750" s="2484"/>
    </row>
    <row r="751" spans="1:226" s="2485" customFormat="1" ht="15" customHeight="1">
      <c r="A751" s="3112"/>
      <c r="B751" s="3113"/>
      <c r="C751" s="3114"/>
      <c r="D751" s="3134"/>
      <c r="E751" s="2503">
        <v>6059</v>
      </c>
      <c r="F751" s="2490">
        <f t="shared" ref="F751:F754" si="79">SUM(G751:J751)</f>
        <v>3292707</v>
      </c>
      <c r="G751" s="2490"/>
      <c r="H751" s="2490"/>
      <c r="I751" s="2490"/>
      <c r="J751" s="2491">
        <v>3292707</v>
      </c>
      <c r="K751" s="2482"/>
    </row>
    <row r="752" spans="1:226" s="2485" customFormat="1" ht="15" customHeight="1">
      <c r="A752" s="3112"/>
      <c r="B752" s="3113"/>
      <c r="C752" s="3114"/>
      <c r="D752" s="3134"/>
      <c r="E752" s="2503">
        <v>6060</v>
      </c>
      <c r="F752" s="2490">
        <f t="shared" si="79"/>
        <v>200000</v>
      </c>
      <c r="G752" s="2490"/>
      <c r="H752" s="2490"/>
      <c r="I752" s="2490"/>
      <c r="J752" s="2491">
        <v>200000</v>
      </c>
      <c r="K752" s="2482"/>
    </row>
    <row r="753" spans="1:226" s="2485" customFormat="1" ht="15" customHeight="1">
      <c r="A753" s="3112"/>
      <c r="B753" s="3113"/>
      <c r="C753" s="3114"/>
      <c r="D753" s="3134"/>
      <c r="E753" s="2489" t="s">
        <v>655</v>
      </c>
      <c r="F753" s="2490">
        <f t="shared" si="79"/>
        <v>1530000</v>
      </c>
      <c r="G753" s="2490"/>
      <c r="H753" s="2490">
        <v>1530000</v>
      </c>
      <c r="I753" s="2490"/>
      <c r="J753" s="2491"/>
      <c r="K753" s="2482"/>
    </row>
    <row r="754" spans="1:226" s="2485" customFormat="1" ht="15" customHeight="1">
      <c r="A754" s="3112"/>
      <c r="B754" s="3113"/>
      <c r="C754" s="3114"/>
      <c r="D754" s="3134"/>
      <c r="E754" s="2503">
        <v>6069</v>
      </c>
      <c r="F754" s="2490">
        <f t="shared" si="79"/>
        <v>270000</v>
      </c>
      <c r="G754" s="2490"/>
      <c r="H754" s="2490"/>
      <c r="I754" s="2490"/>
      <c r="J754" s="2491">
        <v>270000</v>
      </c>
      <c r="K754" s="2482"/>
    </row>
    <row r="755" spans="1:226" s="2485" customFormat="1" ht="15" hidden="1" customHeight="1">
      <c r="A755" s="3112" t="s">
        <v>1095</v>
      </c>
      <c r="B755" s="3113" t="s">
        <v>1162</v>
      </c>
      <c r="C755" s="3114">
        <v>600</v>
      </c>
      <c r="D755" s="3134" t="s">
        <v>682</v>
      </c>
      <c r="E755" s="2479" t="s">
        <v>1086</v>
      </c>
      <c r="F755" s="2480">
        <f>SUM(F756,F763)</f>
        <v>0</v>
      </c>
      <c r="G755" s="2480">
        <f>SUM(G756,G763)</f>
        <v>0</v>
      </c>
      <c r="H755" s="2480">
        <f>SUM(H756,H763)</f>
        <v>0</v>
      </c>
      <c r="I755" s="2480">
        <f>SUM(I756,I763)</f>
        <v>0</v>
      </c>
      <c r="J755" s="2481">
        <f>SUM(J756,J763)</f>
        <v>0</v>
      </c>
      <c r="K755" s="2482"/>
    </row>
    <row r="756" spans="1:226" s="2485" customFormat="1" ht="15" hidden="1" customHeight="1">
      <c r="A756" s="3112"/>
      <c r="B756" s="3113"/>
      <c r="C756" s="3114"/>
      <c r="D756" s="3134"/>
      <c r="E756" s="2486" t="s">
        <v>739</v>
      </c>
      <c r="F756" s="2487">
        <f>SUM(F757,F760)</f>
        <v>0</v>
      </c>
      <c r="G756" s="2487">
        <f>SUM(G757,G760)</f>
        <v>0</v>
      </c>
      <c r="H756" s="2487">
        <f>SUM(H757,H760)</f>
        <v>0</v>
      </c>
      <c r="I756" s="2487">
        <f>SUM(I757,I760)</f>
        <v>0</v>
      </c>
      <c r="J756" s="2488">
        <f>SUM(J757,J760)</f>
        <v>0</v>
      </c>
      <c r="K756" s="2482"/>
    </row>
    <row r="757" spans="1:226" s="2485" customFormat="1" ht="15" hidden="1" customHeight="1">
      <c r="A757" s="3112"/>
      <c r="B757" s="3113"/>
      <c r="C757" s="3114"/>
      <c r="D757" s="3134"/>
      <c r="E757" s="2497" t="s">
        <v>1093</v>
      </c>
      <c r="F757" s="2498">
        <f>SUM(F758:F759)</f>
        <v>0</v>
      </c>
      <c r="G757" s="2498">
        <f>SUM(G758:G759)</f>
        <v>0</v>
      </c>
      <c r="H757" s="2498">
        <f>SUM(H758:H759)</f>
        <v>0</v>
      </c>
      <c r="I757" s="2498">
        <f>SUM(I758:I759)</f>
        <v>0</v>
      </c>
      <c r="J757" s="2499">
        <f>SUM(J758:J759)</f>
        <v>0</v>
      </c>
      <c r="K757" s="2482"/>
    </row>
    <row r="758" spans="1:226" s="2485" customFormat="1" ht="15" hidden="1" customHeight="1">
      <c r="A758" s="3112"/>
      <c r="B758" s="3113"/>
      <c r="C758" s="3114"/>
      <c r="D758" s="3134"/>
      <c r="E758" s="2489"/>
      <c r="F758" s="2490">
        <f>SUM(G758:J758)</f>
        <v>0</v>
      </c>
      <c r="G758" s="2490"/>
      <c r="H758" s="2490"/>
      <c r="I758" s="2490"/>
      <c r="J758" s="2491"/>
      <c r="K758" s="2482"/>
    </row>
    <row r="759" spans="1:226" s="2485" customFormat="1" ht="15" hidden="1" customHeight="1">
      <c r="A759" s="3112"/>
      <c r="B759" s="3113"/>
      <c r="C759" s="3114"/>
      <c r="D759" s="3134"/>
      <c r="E759" s="2489"/>
      <c r="F759" s="2490">
        <f>SUM(G759:J759)</f>
        <v>0</v>
      </c>
      <c r="G759" s="2490"/>
      <c r="H759" s="2490"/>
      <c r="I759" s="2490"/>
      <c r="J759" s="2491"/>
      <c r="K759" s="2482"/>
    </row>
    <row r="760" spans="1:226" s="2485" customFormat="1" ht="15" hidden="1" customHeight="1">
      <c r="A760" s="3112"/>
      <c r="B760" s="3113"/>
      <c r="C760" s="3114"/>
      <c r="D760" s="3134"/>
      <c r="E760" s="2497" t="s">
        <v>1094</v>
      </c>
      <c r="F760" s="2498">
        <f>SUM(F761:F762)</f>
        <v>0</v>
      </c>
      <c r="G760" s="2498">
        <f>SUM(G761:G762)</f>
        <v>0</v>
      </c>
      <c r="H760" s="2498">
        <f>SUM(H761:H762)</f>
        <v>0</v>
      </c>
      <c r="I760" s="2498">
        <f>SUM(I761:I762)</f>
        <v>0</v>
      </c>
      <c r="J760" s="2499">
        <f>SUM(J761:J762)</f>
        <v>0</v>
      </c>
      <c r="K760" s="2482"/>
    </row>
    <row r="761" spans="1:226" s="2485" customFormat="1" ht="15" hidden="1" customHeight="1">
      <c r="A761" s="3112"/>
      <c r="B761" s="3113"/>
      <c r="C761" s="3114"/>
      <c r="D761" s="3134"/>
      <c r="E761" s="2489"/>
      <c r="F761" s="2490">
        <f>SUM(G761:J761)</f>
        <v>0</v>
      </c>
      <c r="G761" s="2490"/>
      <c r="H761" s="2490"/>
      <c r="I761" s="2490"/>
      <c r="J761" s="2491"/>
      <c r="K761" s="2482"/>
    </row>
    <row r="762" spans="1:226" s="2485" customFormat="1" ht="15" hidden="1" customHeight="1">
      <c r="A762" s="3112"/>
      <c r="B762" s="3113"/>
      <c r="C762" s="3114"/>
      <c r="D762" s="3134"/>
      <c r="E762" s="2489"/>
      <c r="F762" s="2490">
        <f>SUM(G762:J762)</f>
        <v>0</v>
      </c>
      <c r="G762" s="2490"/>
      <c r="H762" s="2490"/>
      <c r="I762" s="2490"/>
      <c r="J762" s="2491"/>
      <c r="K762" s="2482"/>
    </row>
    <row r="763" spans="1:226" s="2485" customFormat="1" ht="15" hidden="1" customHeight="1">
      <c r="A763" s="3112"/>
      <c r="B763" s="3113"/>
      <c r="C763" s="3114"/>
      <c r="D763" s="3134"/>
      <c r="E763" s="2492" t="s">
        <v>1087</v>
      </c>
      <c r="F763" s="2487">
        <f>SUM(F764:F769)</f>
        <v>0</v>
      </c>
      <c r="G763" s="2487">
        <f>SUM(G764:G769)</f>
        <v>0</v>
      </c>
      <c r="H763" s="2487">
        <f>SUM(H764:H769)</f>
        <v>0</v>
      </c>
      <c r="I763" s="2487">
        <f>SUM(I764:I769)</f>
        <v>0</v>
      </c>
      <c r="J763" s="2488">
        <f>SUM(J764:J769)</f>
        <v>0</v>
      </c>
      <c r="K763" s="2482"/>
    </row>
    <row r="764" spans="1:226" s="2484" customFormat="1" ht="15" hidden="1" customHeight="1">
      <c r="A764" s="3112"/>
      <c r="B764" s="3113"/>
      <c r="C764" s="3114"/>
      <c r="D764" s="3134"/>
      <c r="E764" s="2489" t="s">
        <v>582</v>
      </c>
      <c r="F764" s="2490">
        <f>SUM(G764:J764)</f>
        <v>0</v>
      </c>
      <c r="G764" s="2490"/>
      <c r="H764" s="2490"/>
      <c r="I764" s="2490"/>
      <c r="J764" s="2491"/>
      <c r="K764" s="2482"/>
    </row>
    <row r="765" spans="1:226" s="2485" customFormat="1" ht="15" hidden="1" customHeight="1">
      <c r="A765" s="3112"/>
      <c r="B765" s="3113"/>
      <c r="C765" s="3114"/>
      <c r="D765" s="3134"/>
      <c r="E765" s="2489" t="s">
        <v>676</v>
      </c>
      <c r="F765" s="2490">
        <f t="shared" ref="F765:F769" si="80">SUM(G765:J765)</f>
        <v>0</v>
      </c>
      <c r="G765" s="2490"/>
      <c r="H765" s="2490"/>
      <c r="I765" s="2490"/>
      <c r="J765" s="2491"/>
      <c r="K765" s="2482"/>
      <c r="L765" s="2484"/>
      <c r="M765" s="2484"/>
      <c r="N765" s="2484"/>
      <c r="O765" s="2484"/>
      <c r="P765" s="2484"/>
      <c r="Q765" s="2484"/>
      <c r="R765" s="2484"/>
      <c r="S765" s="2484"/>
      <c r="T765" s="2484"/>
      <c r="U765" s="2484"/>
      <c r="V765" s="2484"/>
      <c r="W765" s="2484"/>
      <c r="X765" s="2484"/>
      <c r="Y765" s="2484"/>
      <c r="Z765" s="2484"/>
      <c r="AA765" s="2484"/>
      <c r="AB765" s="2484"/>
      <c r="AC765" s="2484"/>
      <c r="AD765" s="2484"/>
      <c r="AE765" s="2484"/>
      <c r="AF765" s="2484"/>
      <c r="AG765" s="2484"/>
      <c r="AH765" s="2484"/>
      <c r="AI765" s="2484"/>
      <c r="AJ765" s="2484"/>
      <c r="AK765" s="2484"/>
      <c r="AL765" s="2484"/>
      <c r="AM765" s="2484"/>
      <c r="AN765" s="2484"/>
      <c r="AO765" s="2484"/>
      <c r="AP765" s="2484"/>
      <c r="AQ765" s="2484"/>
      <c r="AR765" s="2484"/>
      <c r="AS765" s="2484"/>
      <c r="AT765" s="2484"/>
      <c r="AU765" s="2484"/>
      <c r="AV765" s="2484"/>
      <c r="AW765" s="2484"/>
      <c r="AX765" s="2484"/>
      <c r="AY765" s="2484"/>
      <c r="AZ765" s="2484"/>
      <c r="BA765" s="2484"/>
      <c r="BB765" s="2484"/>
      <c r="BC765" s="2484"/>
      <c r="BD765" s="2484"/>
      <c r="BE765" s="2484"/>
      <c r="BF765" s="2484"/>
      <c r="BG765" s="2484"/>
      <c r="BH765" s="2484"/>
      <c r="BI765" s="2484"/>
      <c r="BJ765" s="2484"/>
      <c r="BK765" s="2484"/>
      <c r="BL765" s="2484"/>
      <c r="BM765" s="2484"/>
      <c r="BN765" s="2484"/>
      <c r="BO765" s="2484"/>
      <c r="BP765" s="2484"/>
      <c r="BQ765" s="2484"/>
      <c r="BR765" s="2484"/>
      <c r="BS765" s="2484"/>
      <c r="BT765" s="2484"/>
      <c r="BU765" s="2484"/>
      <c r="BV765" s="2484"/>
      <c r="BW765" s="2484"/>
      <c r="BX765" s="2484"/>
      <c r="BY765" s="2484"/>
      <c r="BZ765" s="2484"/>
      <c r="CA765" s="2484"/>
      <c r="CB765" s="2484"/>
      <c r="CC765" s="2484"/>
      <c r="CD765" s="2484"/>
      <c r="CE765" s="2484"/>
      <c r="CF765" s="2484"/>
      <c r="CG765" s="2484"/>
      <c r="CH765" s="2484"/>
      <c r="CI765" s="2484"/>
      <c r="CJ765" s="2484"/>
      <c r="CK765" s="2484"/>
      <c r="CL765" s="2484"/>
      <c r="CM765" s="2484"/>
      <c r="CN765" s="2484"/>
      <c r="CO765" s="2484"/>
      <c r="CP765" s="2484"/>
      <c r="CQ765" s="2484"/>
      <c r="CR765" s="2484"/>
      <c r="CS765" s="2484"/>
      <c r="CT765" s="2484"/>
      <c r="CU765" s="2484"/>
      <c r="CV765" s="2484"/>
      <c r="CW765" s="2484"/>
      <c r="CX765" s="2484"/>
      <c r="CY765" s="2484"/>
      <c r="CZ765" s="2484"/>
      <c r="DA765" s="2484"/>
      <c r="DB765" s="2484"/>
      <c r="DC765" s="2484"/>
      <c r="DD765" s="2484"/>
      <c r="DE765" s="2484"/>
      <c r="DF765" s="2484"/>
      <c r="DG765" s="2484"/>
      <c r="DH765" s="2484"/>
      <c r="DI765" s="2484"/>
      <c r="DJ765" s="2484"/>
      <c r="DK765" s="2484"/>
      <c r="DL765" s="2484"/>
      <c r="DM765" s="2484"/>
      <c r="DN765" s="2484"/>
      <c r="DO765" s="2484"/>
      <c r="DP765" s="2484"/>
      <c r="DQ765" s="2484"/>
      <c r="DR765" s="2484"/>
      <c r="DS765" s="2484"/>
      <c r="DT765" s="2484"/>
      <c r="DU765" s="2484"/>
      <c r="DV765" s="2484"/>
      <c r="DW765" s="2484"/>
      <c r="DX765" s="2484"/>
      <c r="DY765" s="2484"/>
      <c r="DZ765" s="2484"/>
      <c r="EA765" s="2484"/>
      <c r="EB765" s="2484"/>
      <c r="EC765" s="2484"/>
      <c r="ED765" s="2484"/>
      <c r="EE765" s="2484"/>
      <c r="EF765" s="2484"/>
      <c r="EG765" s="2484"/>
      <c r="EH765" s="2484"/>
      <c r="EI765" s="2484"/>
      <c r="EJ765" s="2484"/>
      <c r="EK765" s="2484"/>
      <c r="EL765" s="2484"/>
      <c r="EM765" s="2484"/>
      <c r="EN765" s="2484"/>
      <c r="EO765" s="2484"/>
      <c r="EP765" s="2484"/>
      <c r="EQ765" s="2484"/>
      <c r="ER765" s="2484"/>
      <c r="ES765" s="2484"/>
      <c r="ET765" s="2484"/>
      <c r="EU765" s="2484"/>
      <c r="EV765" s="2484"/>
      <c r="EW765" s="2484"/>
      <c r="EX765" s="2484"/>
      <c r="EY765" s="2484"/>
      <c r="EZ765" s="2484"/>
      <c r="FA765" s="2484"/>
      <c r="FB765" s="2484"/>
      <c r="FC765" s="2484"/>
      <c r="FD765" s="2484"/>
      <c r="FE765" s="2484"/>
      <c r="FF765" s="2484"/>
      <c r="FG765" s="2484"/>
      <c r="FH765" s="2484"/>
      <c r="FI765" s="2484"/>
      <c r="FJ765" s="2484"/>
      <c r="FK765" s="2484"/>
      <c r="FL765" s="2484"/>
      <c r="FM765" s="2484"/>
      <c r="FN765" s="2484"/>
      <c r="FO765" s="2484"/>
      <c r="FP765" s="2484"/>
      <c r="FQ765" s="2484"/>
      <c r="FR765" s="2484"/>
      <c r="FS765" s="2484"/>
      <c r="FT765" s="2484"/>
      <c r="FU765" s="2484"/>
      <c r="FV765" s="2484"/>
      <c r="FW765" s="2484"/>
      <c r="FX765" s="2484"/>
      <c r="FY765" s="2484"/>
      <c r="FZ765" s="2484"/>
      <c r="GA765" s="2484"/>
      <c r="GB765" s="2484"/>
      <c r="GC765" s="2484"/>
      <c r="GD765" s="2484"/>
      <c r="GE765" s="2484"/>
      <c r="GF765" s="2484"/>
      <c r="GG765" s="2484"/>
      <c r="GH765" s="2484"/>
      <c r="GI765" s="2484"/>
      <c r="GJ765" s="2484"/>
      <c r="GK765" s="2484"/>
      <c r="GL765" s="2484"/>
      <c r="GM765" s="2484"/>
      <c r="GN765" s="2484"/>
      <c r="GO765" s="2484"/>
      <c r="GP765" s="2484"/>
      <c r="GQ765" s="2484"/>
      <c r="GR765" s="2484"/>
      <c r="GS765" s="2484"/>
      <c r="GT765" s="2484"/>
      <c r="GU765" s="2484"/>
      <c r="GV765" s="2484"/>
      <c r="GW765" s="2484"/>
      <c r="GX765" s="2484"/>
      <c r="GY765" s="2484"/>
      <c r="GZ765" s="2484"/>
      <c r="HA765" s="2484"/>
      <c r="HB765" s="2484"/>
      <c r="HC765" s="2484"/>
      <c r="HD765" s="2484"/>
      <c r="HE765" s="2484"/>
      <c r="HF765" s="2484"/>
      <c r="HG765" s="2484"/>
      <c r="HH765" s="2484"/>
      <c r="HI765" s="2484"/>
      <c r="HJ765" s="2484"/>
      <c r="HK765" s="2484"/>
      <c r="HL765" s="2484"/>
      <c r="HM765" s="2484"/>
      <c r="HN765" s="2484"/>
      <c r="HO765" s="2484"/>
      <c r="HP765" s="2484"/>
      <c r="HQ765" s="2484"/>
      <c r="HR765" s="2484"/>
    </row>
    <row r="766" spans="1:226" s="2485" customFormat="1" ht="15" hidden="1" customHeight="1">
      <c r="A766" s="3112"/>
      <c r="B766" s="3113"/>
      <c r="C766" s="3114"/>
      <c r="D766" s="3134"/>
      <c r="E766" s="2503">
        <v>6059</v>
      </c>
      <c r="F766" s="2490">
        <f t="shared" si="80"/>
        <v>0</v>
      </c>
      <c r="G766" s="2490"/>
      <c r="H766" s="2490"/>
      <c r="I766" s="2490"/>
      <c r="J766" s="2491"/>
      <c r="K766" s="2482"/>
    </row>
    <row r="767" spans="1:226" s="2485" customFormat="1" ht="15" hidden="1" customHeight="1">
      <c r="A767" s="3112"/>
      <c r="B767" s="3113"/>
      <c r="C767" s="3114"/>
      <c r="D767" s="3134"/>
      <c r="E767" s="2503">
        <v>6060</v>
      </c>
      <c r="F767" s="2490">
        <f t="shared" si="80"/>
        <v>0</v>
      </c>
      <c r="G767" s="2490"/>
      <c r="H767" s="2490"/>
      <c r="I767" s="2490"/>
      <c r="J767" s="2491"/>
      <c r="K767" s="2482"/>
    </row>
    <row r="768" spans="1:226" s="2485" customFormat="1" ht="15" hidden="1" customHeight="1">
      <c r="A768" s="3112"/>
      <c r="B768" s="3113"/>
      <c r="C768" s="3114"/>
      <c r="D768" s="3134"/>
      <c r="E768" s="2489" t="s">
        <v>655</v>
      </c>
      <c r="F768" s="2490">
        <f t="shared" si="80"/>
        <v>0</v>
      </c>
      <c r="G768" s="2490"/>
      <c r="H768" s="2490"/>
      <c r="I768" s="2490"/>
      <c r="J768" s="2491"/>
      <c r="K768" s="2482"/>
    </row>
    <row r="769" spans="1:226" s="2485" customFormat="1" ht="15" hidden="1" customHeight="1">
      <c r="A769" s="3112"/>
      <c r="B769" s="3113"/>
      <c r="C769" s="3114"/>
      <c r="D769" s="3134"/>
      <c r="E769" s="2503">
        <v>6069</v>
      </c>
      <c r="F769" s="2490">
        <f t="shared" si="80"/>
        <v>0</v>
      </c>
      <c r="G769" s="2490"/>
      <c r="H769" s="2490"/>
      <c r="I769" s="2490"/>
      <c r="J769" s="2491"/>
      <c r="K769" s="2482"/>
    </row>
    <row r="770" spans="1:226" s="2485" customFormat="1" ht="22.5">
      <c r="A770" s="3112" t="s">
        <v>1095</v>
      </c>
      <c r="B770" s="3113" t="s">
        <v>1163</v>
      </c>
      <c r="C770" s="3114">
        <v>600</v>
      </c>
      <c r="D770" s="3134" t="s">
        <v>682</v>
      </c>
      <c r="E770" s="2479" t="s">
        <v>1086</v>
      </c>
      <c r="F770" s="2480">
        <f>SUM(F771,F778)</f>
        <v>40854992</v>
      </c>
      <c r="G770" s="2480">
        <f>SUM(G771,G778)</f>
        <v>500923</v>
      </c>
      <c r="H770" s="2480">
        <f>SUM(H771,H778)</f>
        <v>34300959</v>
      </c>
      <c r="I770" s="2480">
        <f>SUM(I771,I778)</f>
        <v>6053110</v>
      </c>
      <c r="J770" s="2481">
        <f>SUM(J771,J778)</f>
        <v>0</v>
      </c>
      <c r="K770" s="2482"/>
    </row>
    <row r="771" spans="1:226" s="2485" customFormat="1" ht="15" customHeight="1">
      <c r="A771" s="3112"/>
      <c r="B771" s="3113"/>
      <c r="C771" s="3114"/>
      <c r="D771" s="3134"/>
      <c r="E771" s="2486" t="s">
        <v>739</v>
      </c>
      <c r="F771" s="2487">
        <f>SUM(F772,F775)</f>
        <v>0</v>
      </c>
      <c r="G771" s="2487">
        <f>SUM(G772,G775)</f>
        <v>0</v>
      </c>
      <c r="H771" s="2487">
        <f>SUM(H772,H775)</f>
        <v>0</v>
      </c>
      <c r="I771" s="2487">
        <f>SUM(I772,I775)</f>
        <v>0</v>
      </c>
      <c r="J771" s="2488">
        <f>SUM(J772,J775)</f>
        <v>0</v>
      </c>
      <c r="K771" s="2482"/>
    </row>
    <row r="772" spans="1:226" s="2485" customFormat="1" ht="15" hidden="1" customHeight="1">
      <c r="A772" s="3112"/>
      <c r="B772" s="3113"/>
      <c r="C772" s="3114"/>
      <c r="D772" s="3134"/>
      <c r="E772" s="2497" t="s">
        <v>1093</v>
      </c>
      <c r="F772" s="2498">
        <f>SUM(F773:F774)</f>
        <v>0</v>
      </c>
      <c r="G772" s="2498">
        <f>SUM(G773:G774)</f>
        <v>0</v>
      </c>
      <c r="H772" s="2498">
        <f>SUM(H773:H774)</f>
        <v>0</v>
      </c>
      <c r="I772" s="2498">
        <f>SUM(I773:I774)</f>
        <v>0</v>
      </c>
      <c r="J772" s="2499">
        <f>SUM(J773:J774)</f>
        <v>0</v>
      </c>
      <c r="K772" s="2482"/>
    </row>
    <row r="773" spans="1:226" s="2485" customFormat="1" ht="15" hidden="1" customHeight="1">
      <c r="A773" s="3112"/>
      <c r="B773" s="3113"/>
      <c r="C773" s="3114"/>
      <c r="D773" s="3134"/>
      <c r="E773" s="2489"/>
      <c r="F773" s="2490">
        <f>SUM(G773:J773)</f>
        <v>0</v>
      </c>
      <c r="G773" s="2490"/>
      <c r="H773" s="2490"/>
      <c r="I773" s="2490"/>
      <c r="J773" s="2491"/>
      <c r="K773" s="2482"/>
    </row>
    <row r="774" spans="1:226" s="2485" customFormat="1" ht="15" hidden="1" customHeight="1">
      <c r="A774" s="3112"/>
      <c r="B774" s="3113"/>
      <c r="C774" s="3114"/>
      <c r="D774" s="3134"/>
      <c r="E774" s="2489"/>
      <c r="F774" s="2490">
        <f>SUM(G774:J774)</f>
        <v>0</v>
      </c>
      <c r="G774" s="2490"/>
      <c r="H774" s="2490"/>
      <c r="I774" s="2490"/>
      <c r="J774" s="2491"/>
      <c r="K774" s="2482"/>
    </row>
    <row r="775" spans="1:226" s="2485" customFormat="1" ht="15" hidden="1" customHeight="1">
      <c r="A775" s="3112"/>
      <c r="B775" s="3113"/>
      <c r="C775" s="3114"/>
      <c r="D775" s="3134"/>
      <c r="E775" s="2497" t="s">
        <v>1094</v>
      </c>
      <c r="F775" s="2498">
        <f>SUM(F776:F777)</f>
        <v>0</v>
      </c>
      <c r="G775" s="2498">
        <f>SUM(G776:G777)</f>
        <v>0</v>
      </c>
      <c r="H775" s="2498">
        <f>SUM(H776:H777)</f>
        <v>0</v>
      </c>
      <c r="I775" s="2498">
        <f>SUM(I776:I777)</f>
        <v>0</v>
      </c>
      <c r="J775" s="2499">
        <f>SUM(J776:J777)</f>
        <v>0</v>
      </c>
      <c r="K775" s="2482"/>
    </row>
    <row r="776" spans="1:226" s="2485" customFormat="1" ht="15" hidden="1" customHeight="1">
      <c r="A776" s="3112"/>
      <c r="B776" s="3113"/>
      <c r="C776" s="3114"/>
      <c r="D776" s="3134"/>
      <c r="E776" s="2489"/>
      <c r="F776" s="2490">
        <f>SUM(G776:J776)</f>
        <v>0</v>
      </c>
      <c r="G776" s="2490"/>
      <c r="H776" s="2490"/>
      <c r="I776" s="2490"/>
      <c r="J776" s="2491"/>
      <c r="K776" s="2482"/>
    </row>
    <row r="777" spans="1:226" s="2485" customFormat="1" ht="15" hidden="1" customHeight="1">
      <c r="A777" s="3112"/>
      <c r="B777" s="3113"/>
      <c r="C777" s="3114"/>
      <c r="D777" s="3134"/>
      <c r="E777" s="2489"/>
      <c r="F777" s="2490">
        <f>SUM(G777:J777)</f>
        <v>0</v>
      </c>
      <c r="G777" s="2490"/>
      <c r="H777" s="2490"/>
      <c r="I777" s="2490"/>
      <c r="J777" s="2491"/>
      <c r="K777" s="2482"/>
    </row>
    <row r="778" spans="1:226" s="2485" customFormat="1" ht="15" customHeight="1">
      <c r="A778" s="3112"/>
      <c r="B778" s="3113"/>
      <c r="C778" s="3114"/>
      <c r="D778" s="3134"/>
      <c r="E778" s="2492" t="s">
        <v>1087</v>
      </c>
      <c r="F778" s="2487">
        <f>SUM(F779:F784)</f>
        <v>40854992</v>
      </c>
      <c r="G778" s="2487">
        <f>SUM(G779:G784)</f>
        <v>500923</v>
      </c>
      <c r="H778" s="2487">
        <f>SUM(H779:H784)</f>
        <v>34300959</v>
      </c>
      <c r="I778" s="2487">
        <f>SUM(I779:I784)</f>
        <v>6053110</v>
      </c>
      <c r="J778" s="2488">
        <f>SUM(J779:J784)</f>
        <v>0</v>
      </c>
      <c r="K778" s="2482"/>
    </row>
    <row r="779" spans="1:226" s="2484" customFormat="1" ht="15" customHeight="1">
      <c r="A779" s="3112"/>
      <c r="B779" s="3113"/>
      <c r="C779" s="3114"/>
      <c r="D779" s="3134"/>
      <c r="E779" s="2489" t="s">
        <v>582</v>
      </c>
      <c r="F779" s="2490">
        <f>SUM(G779:J779)</f>
        <v>500923</v>
      </c>
      <c r="G779" s="2490">
        <v>500923</v>
      </c>
      <c r="H779" s="2490"/>
      <c r="I779" s="2490"/>
      <c r="J779" s="2491"/>
      <c r="K779" s="2482"/>
    </row>
    <row r="780" spans="1:226" s="2484" customFormat="1" ht="15" customHeight="1">
      <c r="A780" s="3112"/>
      <c r="B780" s="3113"/>
      <c r="C780" s="3114"/>
      <c r="D780" s="3134"/>
      <c r="E780" s="2489" t="s">
        <v>676</v>
      </c>
      <c r="F780" s="2490">
        <f t="shared" ref="F780:F782" si="81">SUM(G780:J780)</f>
        <v>31835959</v>
      </c>
      <c r="G780" s="2490"/>
      <c r="H780" s="2490">
        <v>31835959</v>
      </c>
      <c r="I780" s="2490"/>
      <c r="J780" s="2491"/>
      <c r="K780" s="2482"/>
    </row>
    <row r="781" spans="1:226" s="2484" customFormat="1" ht="15" customHeight="1">
      <c r="A781" s="3112"/>
      <c r="B781" s="3113"/>
      <c r="C781" s="3114"/>
      <c r="D781" s="3134"/>
      <c r="E781" s="2489" t="s">
        <v>677</v>
      </c>
      <c r="F781" s="2490">
        <f t="shared" si="81"/>
        <v>5618110</v>
      </c>
      <c r="G781" s="2490"/>
      <c r="H781" s="2490"/>
      <c r="I781" s="2490">
        <v>5618110</v>
      </c>
      <c r="J781" s="2491"/>
      <c r="K781" s="2482"/>
    </row>
    <row r="782" spans="1:226" s="2484" customFormat="1" ht="15" hidden="1" customHeight="1">
      <c r="A782" s="3112"/>
      <c r="B782" s="3113"/>
      <c r="C782" s="3114"/>
      <c r="D782" s="3134"/>
      <c r="E782" s="2489" t="s">
        <v>576</v>
      </c>
      <c r="F782" s="2490">
        <f t="shared" si="81"/>
        <v>0</v>
      </c>
      <c r="G782" s="2490"/>
      <c r="H782" s="2490"/>
      <c r="I782" s="2490"/>
      <c r="J782" s="2491"/>
      <c r="K782" s="2482"/>
    </row>
    <row r="783" spans="1:226" s="2485" customFormat="1" ht="15" customHeight="1">
      <c r="A783" s="3112"/>
      <c r="B783" s="3113"/>
      <c r="C783" s="3114"/>
      <c r="D783" s="3134"/>
      <c r="E783" s="2489" t="s">
        <v>655</v>
      </c>
      <c r="F783" s="2490">
        <f>SUM(G783:J783)</f>
        <v>2465000</v>
      </c>
      <c r="G783" s="2490"/>
      <c r="H783" s="2490">
        <v>2465000</v>
      </c>
      <c r="I783" s="2490"/>
      <c r="J783" s="2491"/>
      <c r="K783" s="2482"/>
      <c r="L783" s="2484"/>
      <c r="M783" s="2484"/>
      <c r="N783" s="2484"/>
      <c r="O783" s="2484"/>
      <c r="P783" s="2484"/>
      <c r="Q783" s="2484"/>
      <c r="R783" s="2484"/>
      <c r="S783" s="2484"/>
      <c r="T783" s="2484"/>
      <c r="U783" s="2484"/>
      <c r="V783" s="2484"/>
      <c r="W783" s="2484"/>
      <c r="X783" s="2484"/>
      <c r="Y783" s="2484"/>
      <c r="Z783" s="2484"/>
      <c r="AA783" s="2484"/>
      <c r="AB783" s="2484"/>
      <c r="AC783" s="2484"/>
      <c r="AD783" s="2484"/>
      <c r="AE783" s="2484"/>
      <c r="AF783" s="2484"/>
      <c r="AG783" s="2484"/>
      <c r="AH783" s="2484"/>
      <c r="AI783" s="2484"/>
      <c r="AJ783" s="2484"/>
      <c r="AK783" s="2484"/>
      <c r="AL783" s="2484"/>
      <c r="AM783" s="2484"/>
      <c r="AN783" s="2484"/>
      <c r="AO783" s="2484"/>
      <c r="AP783" s="2484"/>
      <c r="AQ783" s="2484"/>
      <c r="AR783" s="2484"/>
      <c r="AS783" s="2484"/>
      <c r="AT783" s="2484"/>
      <c r="AU783" s="2484"/>
      <c r="AV783" s="2484"/>
      <c r="AW783" s="2484"/>
      <c r="AX783" s="2484"/>
      <c r="AY783" s="2484"/>
      <c r="AZ783" s="2484"/>
      <c r="BA783" s="2484"/>
      <c r="BB783" s="2484"/>
      <c r="BC783" s="2484"/>
      <c r="BD783" s="2484"/>
      <c r="BE783" s="2484"/>
      <c r="BF783" s="2484"/>
      <c r="BG783" s="2484"/>
      <c r="BH783" s="2484"/>
      <c r="BI783" s="2484"/>
      <c r="BJ783" s="2484"/>
      <c r="BK783" s="2484"/>
      <c r="BL783" s="2484"/>
      <c r="BM783" s="2484"/>
      <c r="BN783" s="2484"/>
      <c r="BO783" s="2484"/>
      <c r="BP783" s="2484"/>
      <c r="BQ783" s="2484"/>
      <c r="BR783" s="2484"/>
      <c r="BS783" s="2484"/>
      <c r="BT783" s="2484"/>
      <c r="BU783" s="2484"/>
      <c r="BV783" s="2484"/>
      <c r="BW783" s="2484"/>
      <c r="BX783" s="2484"/>
      <c r="BY783" s="2484"/>
      <c r="BZ783" s="2484"/>
      <c r="CA783" s="2484"/>
      <c r="CB783" s="2484"/>
      <c r="CC783" s="2484"/>
      <c r="CD783" s="2484"/>
      <c r="CE783" s="2484"/>
      <c r="CF783" s="2484"/>
      <c r="CG783" s="2484"/>
      <c r="CH783" s="2484"/>
      <c r="CI783" s="2484"/>
      <c r="CJ783" s="2484"/>
      <c r="CK783" s="2484"/>
      <c r="CL783" s="2484"/>
      <c r="CM783" s="2484"/>
      <c r="CN783" s="2484"/>
      <c r="CO783" s="2484"/>
      <c r="CP783" s="2484"/>
      <c r="CQ783" s="2484"/>
      <c r="CR783" s="2484"/>
      <c r="CS783" s="2484"/>
      <c r="CT783" s="2484"/>
      <c r="CU783" s="2484"/>
      <c r="CV783" s="2484"/>
      <c r="CW783" s="2484"/>
      <c r="CX783" s="2484"/>
      <c r="CY783" s="2484"/>
      <c r="CZ783" s="2484"/>
      <c r="DA783" s="2484"/>
      <c r="DB783" s="2484"/>
      <c r="DC783" s="2484"/>
      <c r="DD783" s="2484"/>
      <c r="DE783" s="2484"/>
      <c r="DF783" s="2484"/>
      <c r="DG783" s="2484"/>
      <c r="DH783" s="2484"/>
      <c r="DI783" s="2484"/>
      <c r="DJ783" s="2484"/>
      <c r="DK783" s="2484"/>
      <c r="DL783" s="2484"/>
      <c r="DM783" s="2484"/>
      <c r="DN783" s="2484"/>
      <c r="DO783" s="2484"/>
      <c r="DP783" s="2484"/>
      <c r="DQ783" s="2484"/>
      <c r="DR783" s="2484"/>
      <c r="DS783" s="2484"/>
      <c r="DT783" s="2484"/>
      <c r="DU783" s="2484"/>
      <c r="DV783" s="2484"/>
      <c r="DW783" s="2484"/>
      <c r="DX783" s="2484"/>
      <c r="DY783" s="2484"/>
      <c r="DZ783" s="2484"/>
      <c r="EA783" s="2484"/>
      <c r="EB783" s="2484"/>
      <c r="EC783" s="2484"/>
      <c r="ED783" s="2484"/>
      <c r="EE783" s="2484"/>
      <c r="EF783" s="2484"/>
      <c r="EG783" s="2484"/>
      <c r="EH783" s="2484"/>
      <c r="EI783" s="2484"/>
      <c r="EJ783" s="2484"/>
      <c r="EK783" s="2484"/>
      <c r="EL783" s="2484"/>
      <c r="EM783" s="2484"/>
      <c r="EN783" s="2484"/>
      <c r="EO783" s="2484"/>
      <c r="EP783" s="2484"/>
      <c r="EQ783" s="2484"/>
      <c r="ER783" s="2484"/>
      <c r="ES783" s="2484"/>
      <c r="ET783" s="2484"/>
      <c r="EU783" s="2484"/>
      <c r="EV783" s="2484"/>
      <c r="EW783" s="2484"/>
      <c r="EX783" s="2484"/>
      <c r="EY783" s="2484"/>
      <c r="EZ783" s="2484"/>
      <c r="FA783" s="2484"/>
      <c r="FB783" s="2484"/>
      <c r="FC783" s="2484"/>
      <c r="FD783" s="2484"/>
      <c r="FE783" s="2484"/>
      <c r="FF783" s="2484"/>
      <c r="FG783" s="2484"/>
      <c r="FH783" s="2484"/>
      <c r="FI783" s="2484"/>
      <c r="FJ783" s="2484"/>
      <c r="FK783" s="2484"/>
      <c r="FL783" s="2484"/>
      <c r="FM783" s="2484"/>
      <c r="FN783" s="2484"/>
      <c r="FO783" s="2484"/>
      <c r="FP783" s="2484"/>
      <c r="FQ783" s="2484"/>
      <c r="FR783" s="2484"/>
      <c r="FS783" s="2484"/>
      <c r="FT783" s="2484"/>
      <c r="FU783" s="2484"/>
      <c r="FV783" s="2484"/>
      <c r="FW783" s="2484"/>
      <c r="FX783" s="2484"/>
      <c r="FY783" s="2484"/>
      <c r="FZ783" s="2484"/>
      <c r="GA783" s="2484"/>
      <c r="GB783" s="2484"/>
      <c r="GC783" s="2484"/>
      <c r="GD783" s="2484"/>
      <c r="GE783" s="2484"/>
      <c r="GF783" s="2484"/>
      <c r="GG783" s="2484"/>
      <c r="GH783" s="2484"/>
      <c r="GI783" s="2484"/>
      <c r="GJ783" s="2484"/>
      <c r="GK783" s="2484"/>
      <c r="GL783" s="2484"/>
      <c r="GM783" s="2484"/>
      <c r="GN783" s="2484"/>
      <c r="GO783" s="2484"/>
      <c r="GP783" s="2484"/>
      <c r="GQ783" s="2484"/>
      <c r="GR783" s="2484"/>
      <c r="GS783" s="2484"/>
      <c r="GT783" s="2484"/>
      <c r="GU783" s="2484"/>
      <c r="GV783" s="2484"/>
      <c r="GW783" s="2484"/>
      <c r="GX783" s="2484"/>
      <c r="GY783" s="2484"/>
      <c r="GZ783" s="2484"/>
      <c r="HA783" s="2484"/>
      <c r="HB783" s="2484"/>
      <c r="HC783" s="2484"/>
      <c r="HD783" s="2484"/>
      <c r="HE783" s="2484"/>
      <c r="HF783" s="2484"/>
      <c r="HG783" s="2484"/>
      <c r="HH783" s="2484"/>
      <c r="HI783" s="2484"/>
      <c r="HJ783" s="2484"/>
      <c r="HK783" s="2484"/>
      <c r="HL783" s="2484"/>
      <c r="HM783" s="2484"/>
      <c r="HN783" s="2484"/>
      <c r="HO783" s="2484"/>
      <c r="HP783" s="2484"/>
      <c r="HQ783" s="2484"/>
      <c r="HR783" s="2484"/>
    </row>
    <row r="784" spans="1:226" s="2485" customFormat="1" ht="15" customHeight="1">
      <c r="A784" s="3112"/>
      <c r="B784" s="3113"/>
      <c r="C784" s="3114"/>
      <c r="D784" s="3134"/>
      <c r="E784" s="2503">
        <v>6069</v>
      </c>
      <c r="F784" s="2490">
        <f>SUM(G784:J784)</f>
        <v>435000</v>
      </c>
      <c r="G784" s="2490"/>
      <c r="H784" s="2490"/>
      <c r="I784" s="2490">
        <v>435000</v>
      </c>
      <c r="J784" s="2491"/>
      <c r="K784" s="2482"/>
    </row>
    <row r="785" spans="1:226" s="2485" customFormat="1" ht="22.5">
      <c r="A785" s="3112" t="s">
        <v>1097</v>
      </c>
      <c r="B785" s="3113" t="s">
        <v>1164</v>
      </c>
      <c r="C785" s="3114">
        <v>600</v>
      </c>
      <c r="D785" s="3134" t="s">
        <v>682</v>
      </c>
      <c r="E785" s="2479" t="s">
        <v>1086</v>
      </c>
      <c r="F785" s="2480">
        <f>SUM(F786,F793)</f>
        <v>36946391</v>
      </c>
      <c r="G785" s="2480">
        <f>SUM(G786,G793)</f>
        <v>8813460</v>
      </c>
      <c r="H785" s="2480">
        <f>SUM(H786,H793)</f>
        <v>28002931</v>
      </c>
      <c r="I785" s="2480">
        <f>SUM(I786,I793)</f>
        <v>0</v>
      </c>
      <c r="J785" s="2481">
        <f>SUM(J786,J793)</f>
        <v>130000</v>
      </c>
      <c r="K785" s="2482"/>
    </row>
    <row r="786" spans="1:226" s="2485" customFormat="1" ht="15" customHeight="1">
      <c r="A786" s="3112"/>
      <c r="B786" s="3113"/>
      <c r="C786" s="3114"/>
      <c r="D786" s="3134"/>
      <c r="E786" s="2486" t="s">
        <v>739</v>
      </c>
      <c r="F786" s="2487">
        <f>SUM(F787,F790)</f>
        <v>0</v>
      </c>
      <c r="G786" s="2487">
        <f>SUM(G787,G790)</f>
        <v>0</v>
      </c>
      <c r="H786" s="2487">
        <f>SUM(H787,H790)</f>
        <v>0</v>
      </c>
      <c r="I786" s="2487">
        <f>SUM(I787,I790)</f>
        <v>0</v>
      </c>
      <c r="J786" s="2488">
        <f>SUM(J787,J790)</f>
        <v>0</v>
      </c>
      <c r="K786" s="2482"/>
    </row>
    <row r="787" spans="1:226" s="2485" customFormat="1" ht="15" hidden="1" customHeight="1">
      <c r="A787" s="3112"/>
      <c r="B787" s="3113"/>
      <c r="C787" s="3114"/>
      <c r="D787" s="3134"/>
      <c r="E787" s="2497" t="s">
        <v>1093</v>
      </c>
      <c r="F787" s="2498">
        <f>SUM(F788:F789)</f>
        <v>0</v>
      </c>
      <c r="G787" s="2498">
        <f>SUM(G788:G789)</f>
        <v>0</v>
      </c>
      <c r="H787" s="2498">
        <f>SUM(H788:H789)</f>
        <v>0</v>
      </c>
      <c r="I787" s="2498">
        <f>SUM(I788:I789)</f>
        <v>0</v>
      </c>
      <c r="J787" s="2499">
        <f>SUM(J788:J789)</f>
        <v>0</v>
      </c>
      <c r="K787" s="2482"/>
    </row>
    <row r="788" spans="1:226" s="2485" customFormat="1" ht="15" hidden="1" customHeight="1">
      <c r="A788" s="3112"/>
      <c r="B788" s="3113"/>
      <c r="C788" s="3114"/>
      <c r="D788" s="3134"/>
      <c r="E788" s="2489"/>
      <c r="F788" s="2490">
        <f>SUM(G788:J788)</f>
        <v>0</v>
      </c>
      <c r="G788" s="2490"/>
      <c r="H788" s="2490"/>
      <c r="I788" s="2490"/>
      <c r="J788" s="2491"/>
      <c r="K788" s="2482"/>
    </row>
    <row r="789" spans="1:226" s="2485" customFormat="1" ht="15" hidden="1" customHeight="1">
      <c r="A789" s="3112"/>
      <c r="B789" s="3113"/>
      <c r="C789" s="3114"/>
      <c r="D789" s="3134"/>
      <c r="E789" s="2489"/>
      <c r="F789" s="2490">
        <f>SUM(G789:J789)</f>
        <v>0</v>
      </c>
      <c r="G789" s="2490"/>
      <c r="H789" s="2490"/>
      <c r="I789" s="2490"/>
      <c r="J789" s="2491"/>
      <c r="K789" s="2482"/>
    </row>
    <row r="790" spans="1:226" s="2485" customFormat="1" ht="15" hidden="1" customHeight="1">
      <c r="A790" s="3112"/>
      <c r="B790" s="3113"/>
      <c r="C790" s="3114"/>
      <c r="D790" s="3134"/>
      <c r="E790" s="2497" t="s">
        <v>1094</v>
      </c>
      <c r="F790" s="2498">
        <f>SUM(F791:F792)</f>
        <v>0</v>
      </c>
      <c r="G790" s="2498">
        <f>SUM(G791:G792)</f>
        <v>0</v>
      </c>
      <c r="H790" s="2498">
        <f>SUM(H791:H792)</f>
        <v>0</v>
      </c>
      <c r="I790" s="2498">
        <f>SUM(I791:I792)</f>
        <v>0</v>
      </c>
      <c r="J790" s="2499">
        <f>SUM(J791:J792)</f>
        <v>0</v>
      </c>
      <c r="K790" s="2482"/>
    </row>
    <row r="791" spans="1:226" s="2485" customFormat="1" ht="15" hidden="1" customHeight="1">
      <c r="A791" s="3112"/>
      <c r="B791" s="3113"/>
      <c r="C791" s="3114"/>
      <c r="D791" s="3134"/>
      <c r="E791" s="2489"/>
      <c r="F791" s="2490">
        <f>SUM(G791:J791)</f>
        <v>0</v>
      </c>
      <c r="G791" s="2490"/>
      <c r="H791" s="2490"/>
      <c r="I791" s="2490"/>
      <c r="J791" s="2491"/>
      <c r="K791" s="2482"/>
    </row>
    <row r="792" spans="1:226" s="2485" customFormat="1" ht="15" hidden="1" customHeight="1">
      <c r="A792" s="3112"/>
      <c r="B792" s="3113"/>
      <c r="C792" s="3114"/>
      <c r="D792" s="3134"/>
      <c r="E792" s="2489"/>
      <c r="F792" s="2490">
        <f>SUM(G792:J792)</f>
        <v>0</v>
      </c>
      <c r="G792" s="2490"/>
      <c r="H792" s="2490"/>
      <c r="I792" s="2490"/>
      <c r="J792" s="2491"/>
      <c r="K792" s="2482"/>
    </row>
    <row r="793" spans="1:226" s="2485" customFormat="1" ht="15" customHeight="1">
      <c r="A793" s="3112"/>
      <c r="B793" s="3113"/>
      <c r="C793" s="3114"/>
      <c r="D793" s="3134"/>
      <c r="E793" s="2492" t="s">
        <v>1087</v>
      </c>
      <c r="F793" s="2487">
        <f>SUM(F794:F799)</f>
        <v>36946391</v>
      </c>
      <c r="G793" s="2487">
        <f>SUM(G794:G799)</f>
        <v>8813460</v>
      </c>
      <c r="H793" s="2487">
        <f>SUM(H794:H799)</f>
        <v>28002931</v>
      </c>
      <c r="I793" s="2487">
        <f>SUM(I794:I799)</f>
        <v>0</v>
      </c>
      <c r="J793" s="2488">
        <f>SUM(J794:J799)</f>
        <v>130000</v>
      </c>
      <c r="K793" s="2482"/>
    </row>
    <row r="794" spans="1:226" s="2484" customFormat="1" ht="15" customHeight="1">
      <c r="A794" s="3112"/>
      <c r="B794" s="3113"/>
      <c r="C794" s="3114"/>
      <c r="D794" s="3134"/>
      <c r="E794" s="2489" t="s">
        <v>582</v>
      </c>
      <c r="F794" s="2490">
        <f t="shared" ref="F794:F799" si="82">SUM(G794:J794)</f>
        <v>3192400</v>
      </c>
      <c r="G794" s="2490">
        <v>3062400</v>
      </c>
      <c r="H794" s="2490"/>
      <c r="I794" s="2490"/>
      <c r="J794" s="2491">
        <v>130000</v>
      </c>
      <c r="K794" s="2482"/>
    </row>
    <row r="795" spans="1:226" s="2485" customFormat="1" ht="15" customHeight="1">
      <c r="A795" s="3112"/>
      <c r="B795" s="3113"/>
      <c r="C795" s="3114"/>
      <c r="D795" s="3134"/>
      <c r="E795" s="2489" t="s">
        <v>676</v>
      </c>
      <c r="F795" s="2490">
        <f t="shared" si="82"/>
        <v>25715891</v>
      </c>
      <c r="G795" s="2490"/>
      <c r="H795" s="2490">
        <f>25549140+166751</f>
        <v>25715891</v>
      </c>
      <c r="I795" s="2490"/>
      <c r="J795" s="2491"/>
      <c r="K795" s="2482"/>
      <c r="L795" s="2484"/>
      <c r="M795" s="2484"/>
      <c r="N795" s="2484"/>
      <c r="O795" s="2484"/>
      <c r="P795" s="2484"/>
      <c r="Q795" s="2484"/>
      <c r="R795" s="2484"/>
      <c r="S795" s="2484"/>
      <c r="T795" s="2484"/>
      <c r="U795" s="2484"/>
      <c r="V795" s="2484"/>
      <c r="W795" s="2484"/>
      <c r="X795" s="2484"/>
      <c r="Y795" s="2484"/>
      <c r="Z795" s="2484"/>
      <c r="AA795" s="2484"/>
      <c r="AB795" s="2484"/>
      <c r="AC795" s="2484"/>
      <c r="AD795" s="2484"/>
      <c r="AE795" s="2484"/>
      <c r="AF795" s="2484"/>
      <c r="AG795" s="2484"/>
      <c r="AH795" s="2484"/>
      <c r="AI795" s="2484"/>
      <c r="AJ795" s="2484"/>
      <c r="AK795" s="2484"/>
      <c r="AL795" s="2484"/>
      <c r="AM795" s="2484"/>
      <c r="AN795" s="2484"/>
      <c r="AO795" s="2484"/>
      <c r="AP795" s="2484"/>
      <c r="AQ795" s="2484"/>
      <c r="AR795" s="2484"/>
      <c r="AS795" s="2484"/>
      <c r="AT795" s="2484"/>
      <c r="AU795" s="2484"/>
      <c r="AV795" s="2484"/>
      <c r="AW795" s="2484"/>
      <c r="AX795" s="2484"/>
      <c r="AY795" s="2484"/>
      <c r="AZ795" s="2484"/>
      <c r="BA795" s="2484"/>
      <c r="BB795" s="2484"/>
      <c r="BC795" s="2484"/>
      <c r="BD795" s="2484"/>
      <c r="BE795" s="2484"/>
      <c r="BF795" s="2484"/>
      <c r="BG795" s="2484"/>
      <c r="BH795" s="2484"/>
      <c r="BI795" s="2484"/>
      <c r="BJ795" s="2484"/>
      <c r="BK795" s="2484"/>
      <c r="BL795" s="2484"/>
      <c r="BM795" s="2484"/>
      <c r="BN795" s="2484"/>
      <c r="BO795" s="2484"/>
      <c r="BP795" s="2484"/>
      <c r="BQ795" s="2484"/>
      <c r="BR795" s="2484"/>
      <c r="BS795" s="2484"/>
      <c r="BT795" s="2484"/>
      <c r="BU795" s="2484"/>
      <c r="BV795" s="2484"/>
      <c r="BW795" s="2484"/>
      <c r="BX795" s="2484"/>
      <c r="BY795" s="2484"/>
      <c r="BZ795" s="2484"/>
      <c r="CA795" s="2484"/>
      <c r="CB795" s="2484"/>
      <c r="CC795" s="2484"/>
      <c r="CD795" s="2484"/>
      <c r="CE795" s="2484"/>
      <c r="CF795" s="2484"/>
      <c r="CG795" s="2484"/>
      <c r="CH795" s="2484"/>
      <c r="CI795" s="2484"/>
      <c r="CJ795" s="2484"/>
      <c r="CK795" s="2484"/>
      <c r="CL795" s="2484"/>
      <c r="CM795" s="2484"/>
      <c r="CN795" s="2484"/>
      <c r="CO795" s="2484"/>
      <c r="CP795" s="2484"/>
      <c r="CQ795" s="2484"/>
      <c r="CR795" s="2484"/>
      <c r="CS795" s="2484"/>
      <c r="CT795" s="2484"/>
      <c r="CU795" s="2484"/>
      <c r="CV795" s="2484"/>
      <c r="CW795" s="2484"/>
      <c r="CX795" s="2484"/>
      <c r="CY795" s="2484"/>
      <c r="CZ795" s="2484"/>
      <c r="DA795" s="2484"/>
      <c r="DB795" s="2484"/>
      <c r="DC795" s="2484"/>
      <c r="DD795" s="2484"/>
      <c r="DE795" s="2484"/>
      <c r="DF795" s="2484"/>
      <c r="DG795" s="2484"/>
      <c r="DH795" s="2484"/>
      <c r="DI795" s="2484"/>
      <c r="DJ795" s="2484"/>
      <c r="DK795" s="2484"/>
      <c r="DL795" s="2484"/>
      <c r="DM795" s="2484"/>
      <c r="DN795" s="2484"/>
      <c r="DO795" s="2484"/>
      <c r="DP795" s="2484"/>
      <c r="DQ795" s="2484"/>
      <c r="DR795" s="2484"/>
      <c r="DS795" s="2484"/>
      <c r="DT795" s="2484"/>
      <c r="DU795" s="2484"/>
      <c r="DV795" s="2484"/>
      <c r="DW795" s="2484"/>
      <c r="DX795" s="2484"/>
      <c r="DY795" s="2484"/>
      <c r="DZ795" s="2484"/>
      <c r="EA795" s="2484"/>
      <c r="EB795" s="2484"/>
      <c r="EC795" s="2484"/>
      <c r="ED795" s="2484"/>
      <c r="EE795" s="2484"/>
      <c r="EF795" s="2484"/>
      <c r="EG795" s="2484"/>
      <c r="EH795" s="2484"/>
      <c r="EI795" s="2484"/>
      <c r="EJ795" s="2484"/>
      <c r="EK795" s="2484"/>
      <c r="EL795" s="2484"/>
      <c r="EM795" s="2484"/>
      <c r="EN795" s="2484"/>
      <c r="EO795" s="2484"/>
      <c r="EP795" s="2484"/>
      <c r="EQ795" s="2484"/>
      <c r="ER795" s="2484"/>
      <c r="ES795" s="2484"/>
      <c r="ET795" s="2484"/>
      <c r="EU795" s="2484"/>
      <c r="EV795" s="2484"/>
      <c r="EW795" s="2484"/>
      <c r="EX795" s="2484"/>
      <c r="EY795" s="2484"/>
      <c r="EZ795" s="2484"/>
      <c r="FA795" s="2484"/>
      <c r="FB795" s="2484"/>
      <c r="FC795" s="2484"/>
      <c r="FD795" s="2484"/>
      <c r="FE795" s="2484"/>
      <c r="FF795" s="2484"/>
      <c r="FG795" s="2484"/>
      <c r="FH795" s="2484"/>
      <c r="FI795" s="2484"/>
      <c r="FJ795" s="2484"/>
      <c r="FK795" s="2484"/>
      <c r="FL795" s="2484"/>
      <c r="FM795" s="2484"/>
      <c r="FN795" s="2484"/>
      <c r="FO795" s="2484"/>
      <c r="FP795" s="2484"/>
      <c r="FQ795" s="2484"/>
      <c r="FR795" s="2484"/>
      <c r="FS795" s="2484"/>
      <c r="FT795" s="2484"/>
      <c r="FU795" s="2484"/>
      <c r="FV795" s="2484"/>
      <c r="FW795" s="2484"/>
      <c r="FX795" s="2484"/>
      <c r="FY795" s="2484"/>
      <c r="FZ795" s="2484"/>
      <c r="GA795" s="2484"/>
      <c r="GB795" s="2484"/>
      <c r="GC795" s="2484"/>
      <c r="GD795" s="2484"/>
      <c r="GE795" s="2484"/>
      <c r="GF795" s="2484"/>
      <c r="GG795" s="2484"/>
      <c r="GH795" s="2484"/>
      <c r="GI795" s="2484"/>
      <c r="GJ795" s="2484"/>
      <c r="GK795" s="2484"/>
      <c r="GL795" s="2484"/>
      <c r="GM795" s="2484"/>
      <c r="GN795" s="2484"/>
      <c r="GO795" s="2484"/>
      <c r="GP795" s="2484"/>
      <c r="GQ795" s="2484"/>
      <c r="GR795" s="2484"/>
      <c r="GS795" s="2484"/>
      <c r="GT795" s="2484"/>
      <c r="GU795" s="2484"/>
      <c r="GV795" s="2484"/>
      <c r="GW795" s="2484"/>
      <c r="GX795" s="2484"/>
      <c r="GY795" s="2484"/>
      <c r="GZ795" s="2484"/>
      <c r="HA795" s="2484"/>
      <c r="HB795" s="2484"/>
      <c r="HC795" s="2484"/>
      <c r="HD795" s="2484"/>
      <c r="HE795" s="2484"/>
      <c r="HF795" s="2484"/>
      <c r="HG795" s="2484"/>
      <c r="HH795" s="2484"/>
      <c r="HI795" s="2484"/>
      <c r="HJ795" s="2484"/>
      <c r="HK795" s="2484"/>
      <c r="HL795" s="2484"/>
      <c r="HM795" s="2484"/>
      <c r="HN795" s="2484"/>
      <c r="HO795" s="2484"/>
      <c r="HP795" s="2484"/>
      <c r="HQ795" s="2484"/>
      <c r="HR795" s="2484"/>
    </row>
    <row r="796" spans="1:226" s="2485" customFormat="1" ht="15" customHeight="1">
      <c r="A796" s="3112"/>
      <c r="B796" s="3113"/>
      <c r="C796" s="3114"/>
      <c r="D796" s="3134"/>
      <c r="E796" s="2503">
        <v>6059</v>
      </c>
      <c r="F796" s="2490">
        <f t="shared" si="82"/>
        <v>4538099</v>
      </c>
      <c r="G796" s="2490">
        <f>4508672+29427</f>
        <v>4538099</v>
      </c>
      <c r="H796" s="2490"/>
      <c r="I796" s="2490"/>
      <c r="J796" s="2491"/>
      <c r="K796" s="2482"/>
    </row>
    <row r="797" spans="1:226" s="2485" customFormat="1" ht="15" customHeight="1">
      <c r="A797" s="3112"/>
      <c r="B797" s="3113"/>
      <c r="C797" s="3114"/>
      <c r="D797" s="3134"/>
      <c r="E797" s="2503">
        <v>6060</v>
      </c>
      <c r="F797" s="2490">
        <f t="shared" si="82"/>
        <v>809365</v>
      </c>
      <c r="G797" s="2490">
        <v>809365</v>
      </c>
      <c r="H797" s="2490"/>
      <c r="I797" s="2490"/>
      <c r="J797" s="2491"/>
      <c r="K797" s="2482"/>
    </row>
    <row r="798" spans="1:226" s="2485" customFormat="1" ht="15" customHeight="1">
      <c r="A798" s="3112"/>
      <c r="B798" s="3113"/>
      <c r="C798" s="3114"/>
      <c r="D798" s="3134"/>
      <c r="E798" s="2489" t="s">
        <v>655</v>
      </c>
      <c r="F798" s="2490">
        <f t="shared" si="82"/>
        <v>2287040</v>
      </c>
      <c r="G798" s="2490"/>
      <c r="H798" s="2490">
        <v>2287040</v>
      </c>
      <c r="I798" s="2490"/>
      <c r="J798" s="2491"/>
      <c r="K798" s="2482"/>
    </row>
    <row r="799" spans="1:226" s="2485" customFormat="1" ht="15" customHeight="1">
      <c r="A799" s="3112"/>
      <c r="B799" s="3113"/>
      <c r="C799" s="3114"/>
      <c r="D799" s="3134"/>
      <c r="E799" s="2503">
        <v>6069</v>
      </c>
      <c r="F799" s="2490">
        <f t="shared" si="82"/>
        <v>403596</v>
      </c>
      <c r="G799" s="2490">
        <v>403596</v>
      </c>
      <c r="H799" s="2490"/>
      <c r="I799" s="2490"/>
      <c r="J799" s="2491"/>
      <c r="K799" s="2482"/>
    </row>
    <row r="800" spans="1:226" s="2485" customFormat="1" ht="22.5" customHeight="1">
      <c r="A800" s="3139" t="s">
        <v>1099</v>
      </c>
      <c r="B800" s="3148" t="s">
        <v>1165</v>
      </c>
      <c r="C800" s="3115">
        <v>600</v>
      </c>
      <c r="D800" s="3117" t="s">
        <v>682</v>
      </c>
      <c r="E800" s="2479" t="s">
        <v>1086</v>
      </c>
      <c r="F800" s="2480">
        <f>SUM(F801,F808)</f>
        <v>23386079</v>
      </c>
      <c r="G800" s="2480">
        <f>SUM(G801,G808)</f>
        <v>2924261</v>
      </c>
      <c r="H800" s="2480">
        <f>SUM(H801,H808)</f>
        <v>18353939</v>
      </c>
      <c r="I800" s="2480">
        <f>SUM(I801,I808)</f>
        <v>0</v>
      </c>
      <c r="J800" s="2481">
        <f>SUM(J801,J808)</f>
        <v>2107879</v>
      </c>
      <c r="K800" s="2482"/>
    </row>
    <row r="801" spans="1:226" s="2485" customFormat="1" ht="15" customHeight="1">
      <c r="A801" s="3140"/>
      <c r="B801" s="3149"/>
      <c r="C801" s="3145"/>
      <c r="D801" s="3146"/>
      <c r="E801" s="2486" t="s">
        <v>739</v>
      </c>
      <c r="F801" s="2487">
        <f>SUM(F802,F805)</f>
        <v>0</v>
      </c>
      <c r="G801" s="2487">
        <f>SUM(G802,G805)</f>
        <v>0</v>
      </c>
      <c r="H801" s="2487">
        <f>SUM(H802,H805)</f>
        <v>0</v>
      </c>
      <c r="I801" s="2487">
        <f>SUM(I802,I805)</f>
        <v>0</v>
      </c>
      <c r="J801" s="2488">
        <f>SUM(J802,J805)</f>
        <v>0</v>
      </c>
      <c r="K801" s="2482"/>
    </row>
    <row r="802" spans="1:226" s="2485" customFormat="1" ht="15" hidden="1" customHeight="1">
      <c r="A802" s="3140"/>
      <c r="B802" s="3149"/>
      <c r="C802" s="3145"/>
      <c r="D802" s="3146"/>
      <c r="E802" s="2497" t="s">
        <v>1093</v>
      </c>
      <c r="F802" s="2498">
        <f>SUM(F803:F804)</f>
        <v>0</v>
      </c>
      <c r="G802" s="2498">
        <f>SUM(G803:G804)</f>
        <v>0</v>
      </c>
      <c r="H802" s="2498">
        <f>SUM(H803:H804)</f>
        <v>0</v>
      </c>
      <c r="I802" s="2498">
        <f>SUM(I803:I804)</f>
        <v>0</v>
      </c>
      <c r="J802" s="2499">
        <f>SUM(J803:J804)</f>
        <v>0</v>
      </c>
      <c r="K802" s="2482"/>
    </row>
    <row r="803" spans="1:226" s="2485" customFormat="1" ht="15" hidden="1" customHeight="1">
      <c r="A803" s="3140"/>
      <c r="B803" s="3149"/>
      <c r="C803" s="3145"/>
      <c r="D803" s="3146"/>
      <c r="E803" s="2489"/>
      <c r="F803" s="2490">
        <f>SUM(G803:J803)</f>
        <v>0</v>
      </c>
      <c r="G803" s="2490"/>
      <c r="H803" s="2490"/>
      <c r="I803" s="2490"/>
      <c r="J803" s="2491"/>
      <c r="K803" s="2482"/>
    </row>
    <row r="804" spans="1:226" s="2485" customFormat="1" ht="15" hidden="1" customHeight="1">
      <c r="A804" s="3140"/>
      <c r="B804" s="3149"/>
      <c r="C804" s="3145"/>
      <c r="D804" s="3146"/>
      <c r="E804" s="2489"/>
      <c r="F804" s="2490">
        <f>SUM(G804:J804)</f>
        <v>0</v>
      </c>
      <c r="G804" s="2490"/>
      <c r="H804" s="2490"/>
      <c r="I804" s="2490"/>
      <c r="J804" s="2491"/>
      <c r="K804" s="2482"/>
    </row>
    <row r="805" spans="1:226" s="2485" customFormat="1" ht="15" hidden="1" customHeight="1">
      <c r="A805" s="3140"/>
      <c r="B805" s="3149"/>
      <c r="C805" s="3145"/>
      <c r="D805" s="3146"/>
      <c r="E805" s="2497" t="s">
        <v>1094</v>
      </c>
      <c r="F805" s="2498">
        <f>SUM(F806:F807)</f>
        <v>0</v>
      </c>
      <c r="G805" s="2498">
        <f>SUM(G806:G807)</f>
        <v>0</v>
      </c>
      <c r="H805" s="2498">
        <f>SUM(H806:H807)</f>
        <v>0</v>
      </c>
      <c r="I805" s="2498">
        <f>SUM(I806:I807)</f>
        <v>0</v>
      </c>
      <c r="J805" s="2499">
        <f>SUM(J806:J807)</f>
        <v>0</v>
      </c>
      <c r="K805" s="2482"/>
    </row>
    <row r="806" spans="1:226" s="2485" customFormat="1" ht="15" hidden="1" customHeight="1">
      <c r="A806" s="3140"/>
      <c r="B806" s="3149"/>
      <c r="C806" s="3145"/>
      <c r="D806" s="3146"/>
      <c r="E806" s="2489"/>
      <c r="F806" s="2490">
        <f>SUM(G806:J806)</f>
        <v>0</v>
      </c>
      <c r="G806" s="2490"/>
      <c r="H806" s="2490"/>
      <c r="I806" s="2490"/>
      <c r="J806" s="2491"/>
      <c r="K806" s="2482"/>
    </row>
    <row r="807" spans="1:226" s="2485" customFormat="1" ht="15" hidden="1" customHeight="1">
      <c r="A807" s="3140"/>
      <c r="B807" s="3149"/>
      <c r="C807" s="3145"/>
      <c r="D807" s="3146"/>
      <c r="E807" s="2489"/>
      <c r="F807" s="2490">
        <f>SUM(G807:J807)</f>
        <v>0</v>
      </c>
      <c r="G807" s="2490"/>
      <c r="H807" s="2490"/>
      <c r="I807" s="2490"/>
      <c r="J807" s="2491"/>
      <c r="K807" s="2482"/>
    </row>
    <row r="808" spans="1:226" s="2485" customFormat="1" ht="15" customHeight="1">
      <c r="A808" s="3140"/>
      <c r="B808" s="3149"/>
      <c r="C808" s="3145"/>
      <c r="D808" s="3146"/>
      <c r="E808" s="2492" t="s">
        <v>1087</v>
      </c>
      <c r="F808" s="2487">
        <f>SUM(F809:F814)</f>
        <v>23386079</v>
      </c>
      <c r="G808" s="2487">
        <f>SUM(G809:G814)</f>
        <v>2924261</v>
      </c>
      <c r="H808" s="2487">
        <f>SUM(H809:H814)</f>
        <v>18353939</v>
      </c>
      <c r="I808" s="2487">
        <f>SUM(I809:I814)</f>
        <v>0</v>
      </c>
      <c r="J808" s="2488">
        <f>SUM(J809:J814)</f>
        <v>2107879</v>
      </c>
      <c r="K808" s="2482"/>
    </row>
    <row r="809" spans="1:226" s="2484" customFormat="1" ht="15" customHeight="1">
      <c r="A809" s="3140"/>
      <c r="B809" s="3149"/>
      <c r="C809" s="3145"/>
      <c r="D809" s="3146"/>
      <c r="E809" s="2489" t="s">
        <v>582</v>
      </c>
      <c r="F809" s="2490">
        <f t="shared" ref="F809:F814" si="83">SUM(G809:J809)</f>
        <v>1293212</v>
      </c>
      <c r="G809" s="2490">
        <v>1293212</v>
      </c>
      <c r="H809" s="2490"/>
      <c r="I809" s="2490"/>
      <c r="J809" s="2491"/>
      <c r="K809" s="2482"/>
    </row>
    <row r="810" spans="1:226" s="2485" customFormat="1" ht="15" customHeight="1">
      <c r="A810" s="3140"/>
      <c r="B810" s="3149"/>
      <c r="C810" s="3145"/>
      <c r="D810" s="3146"/>
      <c r="E810" s="2489" t="s">
        <v>676</v>
      </c>
      <c r="F810" s="2490">
        <f t="shared" si="83"/>
        <v>17503939</v>
      </c>
      <c r="G810" s="2490"/>
      <c r="H810" s="2490">
        <f>11944643+5559296</f>
        <v>17503939</v>
      </c>
      <c r="I810" s="2490"/>
      <c r="J810" s="2491"/>
      <c r="K810" s="2482"/>
      <c r="L810" s="2484"/>
      <c r="M810" s="2484"/>
      <c r="N810" s="2484"/>
      <c r="O810" s="2484"/>
      <c r="P810" s="2484"/>
      <c r="Q810" s="2484"/>
      <c r="R810" s="2484"/>
      <c r="S810" s="2484"/>
      <c r="T810" s="2484"/>
      <c r="U810" s="2484"/>
      <c r="V810" s="2484"/>
      <c r="W810" s="2484"/>
      <c r="X810" s="2484"/>
      <c r="Y810" s="2484"/>
      <c r="Z810" s="2484"/>
      <c r="AA810" s="2484"/>
      <c r="AB810" s="2484"/>
      <c r="AC810" s="2484"/>
      <c r="AD810" s="2484"/>
      <c r="AE810" s="2484"/>
      <c r="AF810" s="2484"/>
      <c r="AG810" s="2484"/>
      <c r="AH810" s="2484"/>
      <c r="AI810" s="2484"/>
      <c r="AJ810" s="2484"/>
      <c r="AK810" s="2484"/>
      <c r="AL810" s="2484"/>
      <c r="AM810" s="2484"/>
      <c r="AN810" s="2484"/>
      <c r="AO810" s="2484"/>
      <c r="AP810" s="2484"/>
      <c r="AQ810" s="2484"/>
      <c r="AR810" s="2484"/>
      <c r="AS810" s="2484"/>
      <c r="AT810" s="2484"/>
      <c r="AU810" s="2484"/>
      <c r="AV810" s="2484"/>
      <c r="AW810" s="2484"/>
      <c r="AX810" s="2484"/>
      <c r="AY810" s="2484"/>
      <c r="AZ810" s="2484"/>
      <c r="BA810" s="2484"/>
      <c r="BB810" s="2484"/>
      <c r="BC810" s="2484"/>
      <c r="BD810" s="2484"/>
      <c r="BE810" s="2484"/>
      <c r="BF810" s="2484"/>
      <c r="BG810" s="2484"/>
      <c r="BH810" s="2484"/>
      <c r="BI810" s="2484"/>
      <c r="BJ810" s="2484"/>
      <c r="BK810" s="2484"/>
      <c r="BL810" s="2484"/>
      <c r="BM810" s="2484"/>
      <c r="BN810" s="2484"/>
      <c r="BO810" s="2484"/>
      <c r="BP810" s="2484"/>
      <c r="BQ810" s="2484"/>
      <c r="BR810" s="2484"/>
      <c r="BS810" s="2484"/>
      <c r="BT810" s="2484"/>
      <c r="BU810" s="2484"/>
      <c r="BV810" s="2484"/>
      <c r="BW810" s="2484"/>
      <c r="BX810" s="2484"/>
      <c r="BY810" s="2484"/>
      <c r="BZ810" s="2484"/>
      <c r="CA810" s="2484"/>
      <c r="CB810" s="2484"/>
      <c r="CC810" s="2484"/>
      <c r="CD810" s="2484"/>
      <c r="CE810" s="2484"/>
      <c r="CF810" s="2484"/>
      <c r="CG810" s="2484"/>
      <c r="CH810" s="2484"/>
      <c r="CI810" s="2484"/>
      <c r="CJ810" s="2484"/>
      <c r="CK810" s="2484"/>
      <c r="CL810" s="2484"/>
      <c r="CM810" s="2484"/>
      <c r="CN810" s="2484"/>
      <c r="CO810" s="2484"/>
      <c r="CP810" s="2484"/>
      <c r="CQ810" s="2484"/>
      <c r="CR810" s="2484"/>
      <c r="CS810" s="2484"/>
      <c r="CT810" s="2484"/>
      <c r="CU810" s="2484"/>
      <c r="CV810" s="2484"/>
      <c r="CW810" s="2484"/>
      <c r="CX810" s="2484"/>
      <c r="CY810" s="2484"/>
      <c r="CZ810" s="2484"/>
      <c r="DA810" s="2484"/>
      <c r="DB810" s="2484"/>
      <c r="DC810" s="2484"/>
      <c r="DD810" s="2484"/>
      <c r="DE810" s="2484"/>
      <c r="DF810" s="2484"/>
      <c r="DG810" s="2484"/>
      <c r="DH810" s="2484"/>
      <c r="DI810" s="2484"/>
      <c r="DJ810" s="2484"/>
      <c r="DK810" s="2484"/>
      <c r="DL810" s="2484"/>
      <c r="DM810" s="2484"/>
      <c r="DN810" s="2484"/>
      <c r="DO810" s="2484"/>
      <c r="DP810" s="2484"/>
      <c r="DQ810" s="2484"/>
      <c r="DR810" s="2484"/>
      <c r="DS810" s="2484"/>
      <c r="DT810" s="2484"/>
      <c r="DU810" s="2484"/>
      <c r="DV810" s="2484"/>
      <c r="DW810" s="2484"/>
      <c r="DX810" s="2484"/>
      <c r="DY810" s="2484"/>
      <c r="DZ810" s="2484"/>
      <c r="EA810" s="2484"/>
      <c r="EB810" s="2484"/>
      <c r="EC810" s="2484"/>
      <c r="ED810" s="2484"/>
      <c r="EE810" s="2484"/>
      <c r="EF810" s="2484"/>
      <c r="EG810" s="2484"/>
      <c r="EH810" s="2484"/>
      <c r="EI810" s="2484"/>
      <c r="EJ810" s="2484"/>
      <c r="EK810" s="2484"/>
      <c r="EL810" s="2484"/>
      <c r="EM810" s="2484"/>
      <c r="EN810" s="2484"/>
      <c r="EO810" s="2484"/>
      <c r="EP810" s="2484"/>
      <c r="EQ810" s="2484"/>
      <c r="ER810" s="2484"/>
      <c r="ES810" s="2484"/>
      <c r="ET810" s="2484"/>
      <c r="EU810" s="2484"/>
      <c r="EV810" s="2484"/>
      <c r="EW810" s="2484"/>
      <c r="EX810" s="2484"/>
      <c r="EY810" s="2484"/>
      <c r="EZ810" s="2484"/>
      <c r="FA810" s="2484"/>
      <c r="FB810" s="2484"/>
      <c r="FC810" s="2484"/>
      <c r="FD810" s="2484"/>
      <c r="FE810" s="2484"/>
      <c r="FF810" s="2484"/>
      <c r="FG810" s="2484"/>
      <c r="FH810" s="2484"/>
      <c r="FI810" s="2484"/>
      <c r="FJ810" s="2484"/>
      <c r="FK810" s="2484"/>
      <c r="FL810" s="2484"/>
      <c r="FM810" s="2484"/>
      <c r="FN810" s="2484"/>
      <c r="FO810" s="2484"/>
      <c r="FP810" s="2484"/>
      <c r="FQ810" s="2484"/>
      <c r="FR810" s="2484"/>
      <c r="FS810" s="2484"/>
      <c r="FT810" s="2484"/>
      <c r="FU810" s="2484"/>
      <c r="FV810" s="2484"/>
      <c r="FW810" s="2484"/>
      <c r="FX810" s="2484"/>
      <c r="FY810" s="2484"/>
      <c r="FZ810" s="2484"/>
      <c r="GA810" s="2484"/>
      <c r="GB810" s="2484"/>
      <c r="GC810" s="2484"/>
      <c r="GD810" s="2484"/>
      <c r="GE810" s="2484"/>
      <c r="GF810" s="2484"/>
      <c r="GG810" s="2484"/>
      <c r="GH810" s="2484"/>
      <c r="GI810" s="2484"/>
      <c r="GJ810" s="2484"/>
      <c r="GK810" s="2484"/>
      <c r="GL810" s="2484"/>
      <c r="GM810" s="2484"/>
      <c r="GN810" s="2484"/>
      <c r="GO810" s="2484"/>
      <c r="GP810" s="2484"/>
      <c r="GQ810" s="2484"/>
      <c r="GR810" s="2484"/>
      <c r="GS810" s="2484"/>
      <c r="GT810" s="2484"/>
      <c r="GU810" s="2484"/>
      <c r="GV810" s="2484"/>
      <c r="GW810" s="2484"/>
      <c r="GX810" s="2484"/>
      <c r="GY810" s="2484"/>
      <c r="GZ810" s="2484"/>
      <c r="HA810" s="2484"/>
      <c r="HB810" s="2484"/>
      <c r="HC810" s="2484"/>
      <c r="HD810" s="2484"/>
      <c r="HE810" s="2484"/>
      <c r="HF810" s="2484"/>
      <c r="HG810" s="2484"/>
      <c r="HH810" s="2484"/>
      <c r="HI810" s="2484"/>
      <c r="HJ810" s="2484"/>
      <c r="HK810" s="2484"/>
      <c r="HL810" s="2484"/>
      <c r="HM810" s="2484"/>
      <c r="HN810" s="2484"/>
      <c r="HO810" s="2484"/>
      <c r="HP810" s="2484"/>
      <c r="HQ810" s="2484"/>
      <c r="HR810" s="2484"/>
    </row>
    <row r="811" spans="1:226" s="2485" customFormat="1" ht="15" customHeight="1">
      <c r="A811" s="3140"/>
      <c r="B811" s="3149"/>
      <c r="C811" s="3145"/>
      <c r="D811" s="3146"/>
      <c r="E811" s="2503">
        <v>6059</v>
      </c>
      <c r="F811" s="2490">
        <f t="shared" si="83"/>
        <v>3088928</v>
      </c>
      <c r="G811" s="2490">
        <v>981049</v>
      </c>
      <c r="H811" s="2490"/>
      <c r="I811" s="2490"/>
      <c r="J811" s="2491">
        <v>2107879</v>
      </c>
      <c r="K811" s="2482"/>
    </row>
    <row r="812" spans="1:226" s="2485" customFormat="1" ht="15" customHeight="1">
      <c r="A812" s="3140"/>
      <c r="B812" s="3149"/>
      <c r="C812" s="3145"/>
      <c r="D812" s="3146"/>
      <c r="E812" s="2503">
        <v>6060</v>
      </c>
      <c r="F812" s="2490">
        <f t="shared" si="83"/>
        <v>500000</v>
      </c>
      <c r="G812" s="2490">
        <v>500000</v>
      </c>
      <c r="H812" s="2490"/>
      <c r="I812" s="2490"/>
      <c r="J812" s="2491"/>
      <c r="K812" s="2482"/>
    </row>
    <row r="813" spans="1:226" s="2485" customFormat="1" ht="15" customHeight="1">
      <c r="A813" s="3140"/>
      <c r="B813" s="3149"/>
      <c r="C813" s="3145"/>
      <c r="D813" s="3146"/>
      <c r="E813" s="2489" t="s">
        <v>655</v>
      </c>
      <c r="F813" s="2490">
        <f t="shared" si="83"/>
        <v>850000</v>
      </c>
      <c r="G813" s="2490"/>
      <c r="H813" s="2490">
        <v>850000</v>
      </c>
      <c r="I813" s="2490"/>
      <c r="J813" s="2491"/>
      <c r="K813" s="2482"/>
    </row>
    <row r="814" spans="1:226" s="2485" customFormat="1" ht="15" customHeight="1">
      <c r="A814" s="3141"/>
      <c r="B814" s="3150"/>
      <c r="C814" s="3116"/>
      <c r="D814" s="3118"/>
      <c r="E814" s="2503">
        <v>6069</v>
      </c>
      <c r="F814" s="2490">
        <f t="shared" si="83"/>
        <v>150000</v>
      </c>
      <c r="G814" s="2490">
        <v>150000</v>
      </c>
      <c r="H814" s="2490"/>
      <c r="I814" s="2490"/>
      <c r="J814" s="2491"/>
      <c r="K814" s="2482"/>
    </row>
    <row r="815" spans="1:226" s="2485" customFormat="1" ht="22.5" customHeight="1">
      <c r="A815" s="3139" t="s">
        <v>1101</v>
      </c>
      <c r="B815" s="3148" t="s">
        <v>1166</v>
      </c>
      <c r="C815" s="3115">
        <v>600</v>
      </c>
      <c r="D815" s="3117" t="s">
        <v>682</v>
      </c>
      <c r="E815" s="2479" t="s">
        <v>1086</v>
      </c>
      <c r="F815" s="2480">
        <f>SUM(F816,F823)</f>
        <v>24873172</v>
      </c>
      <c r="G815" s="2480">
        <f>SUM(G816,G823)</f>
        <v>2864109</v>
      </c>
      <c r="H815" s="2480">
        <f>SUM(H816,H823)</f>
        <v>19795697</v>
      </c>
      <c r="I815" s="2480">
        <f>SUM(I816,I823)</f>
        <v>2213366</v>
      </c>
      <c r="J815" s="2481">
        <f>SUM(J816,J823)</f>
        <v>0</v>
      </c>
      <c r="K815" s="2482"/>
    </row>
    <row r="816" spans="1:226" s="2485" customFormat="1" ht="15" customHeight="1">
      <c r="A816" s="3140"/>
      <c r="B816" s="3149"/>
      <c r="C816" s="3145"/>
      <c r="D816" s="3146"/>
      <c r="E816" s="2486" t="s">
        <v>739</v>
      </c>
      <c r="F816" s="2487">
        <f>SUM(F817,F820)</f>
        <v>0</v>
      </c>
      <c r="G816" s="2487">
        <f>SUM(G817,G820)</f>
        <v>0</v>
      </c>
      <c r="H816" s="2487">
        <f>SUM(H817,H820)</f>
        <v>0</v>
      </c>
      <c r="I816" s="2487">
        <f>SUM(I817,I820)</f>
        <v>0</v>
      </c>
      <c r="J816" s="2488">
        <f>SUM(J817,J820)</f>
        <v>0</v>
      </c>
      <c r="K816" s="2482"/>
    </row>
    <row r="817" spans="1:226" s="2485" customFormat="1" ht="15" hidden="1" customHeight="1">
      <c r="A817" s="3140"/>
      <c r="B817" s="3149"/>
      <c r="C817" s="3145"/>
      <c r="D817" s="3146"/>
      <c r="E817" s="2497" t="s">
        <v>1093</v>
      </c>
      <c r="F817" s="2498">
        <f>SUM(F818:F819)</f>
        <v>0</v>
      </c>
      <c r="G817" s="2498">
        <f>SUM(G818:G819)</f>
        <v>0</v>
      </c>
      <c r="H817" s="2498">
        <f>SUM(H818:H819)</f>
        <v>0</v>
      </c>
      <c r="I817" s="2498">
        <f>SUM(I818:I819)</f>
        <v>0</v>
      </c>
      <c r="J817" s="2499">
        <f>SUM(J818:J819)</f>
        <v>0</v>
      </c>
      <c r="K817" s="2482"/>
    </row>
    <row r="818" spans="1:226" s="2485" customFormat="1" ht="15" hidden="1" customHeight="1">
      <c r="A818" s="3140"/>
      <c r="B818" s="3149"/>
      <c r="C818" s="3145"/>
      <c r="D818" s="3146"/>
      <c r="E818" s="2489"/>
      <c r="F818" s="2490">
        <f>SUM(G818:J818)</f>
        <v>0</v>
      </c>
      <c r="G818" s="2490"/>
      <c r="H818" s="2490"/>
      <c r="I818" s="2490"/>
      <c r="J818" s="2491"/>
      <c r="K818" s="2482"/>
    </row>
    <row r="819" spans="1:226" s="2485" customFormat="1" ht="15" hidden="1" customHeight="1">
      <c r="A819" s="3140"/>
      <c r="B819" s="3149"/>
      <c r="C819" s="3145"/>
      <c r="D819" s="3146"/>
      <c r="E819" s="2489"/>
      <c r="F819" s="2490">
        <f>SUM(G819:J819)</f>
        <v>0</v>
      </c>
      <c r="G819" s="2490"/>
      <c r="H819" s="2490"/>
      <c r="I819" s="2490"/>
      <c r="J819" s="2491"/>
      <c r="K819" s="2482"/>
    </row>
    <row r="820" spans="1:226" s="2485" customFormat="1" ht="15" hidden="1" customHeight="1">
      <c r="A820" s="3140"/>
      <c r="B820" s="3149"/>
      <c r="C820" s="3145"/>
      <c r="D820" s="3146"/>
      <c r="E820" s="2497" t="s">
        <v>1094</v>
      </c>
      <c r="F820" s="2498">
        <f>SUM(F821:F822)</f>
        <v>0</v>
      </c>
      <c r="G820" s="2498">
        <f>SUM(G821:G822)</f>
        <v>0</v>
      </c>
      <c r="H820" s="2498">
        <f>SUM(H821:H822)</f>
        <v>0</v>
      </c>
      <c r="I820" s="2498">
        <f>SUM(I821:I822)</f>
        <v>0</v>
      </c>
      <c r="J820" s="2499">
        <f>SUM(J821:J822)</f>
        <v>0</v>
      </c>
      <c r="K820" s="2482"/>
    </row>
    <row r="821" spans="1:226" s="2485" customFormat="1" ht="15" hidden="1" customHeight="1">
      <c r="A821" s="3140"/>
      <c r="B821" s="3149"/>
      <c r="C821" s="3145"/>
      <c r="D821" s="3146"/>
      <c r="E821" s="2489"/>
      <c r="F821" s="2490">
        <f>SUM(G821:J821)</f>
        <v>0</v>
      </c>
      <c r="G821" s="2490"/>
      <c r="H821" s="2490"/>
      <c r="I821" s="2490"/>
      <c r="J821" s="2491"/>
      <c r="K821" s="2482"/>
    </row>
    <row r="822" spans="1:226" s="2485" customFormat="1" ht="15" hidden="1" customHeight="1">
      <c r="A822" s="3140"/>
      <c r="B822" s="3149"/>
      <c r="C822" s="3145"/>
      <c r="D822" s="3146"/>
      <c r="E822" s="2489"/>
      <c r="F822" s="2490">
        <f>SUM(G822:J822)</f>
        <v>0</v>
      </c>
      <c r="G822" s="2490"/>
      <c r="H822" s="2490"/>
      <c r="I822" s="2490"/>
      <c r="J822" s="2491"/>
      <c r="K822" s="2482"/>
    </row>
    <row r="823" spans="1:226" s="2485" customFormat="1" ht="15" customHeight="1">
      <c r="A823" s="3140"/>
      <c r="B823" s="3149"/>
      <c r="C823" s="3145"/>
      <c r="D823" s="3146"/>
      <c r="E823" s="2492" t="s">
        <v>1087</v>
      </c>
      <c r="F823" s="2487">
        <f>SUM(F824:F829)</f>
        <v>24873172</v>
      </c>
      <c r="G823" s="2487">
        <f>SUM(G824:G829)</f>
        <v>2864109</v>
      </c>
      <c r="H823" s="2487">
        <f>SUM(H824:H829)</f>
        <v>19795697</v>
      </c>
      <c r="I823" s="2487">
        <f>SUM(I824:I829)</f>
        <v>2213366</v>
      </c>
      <c r="J823" s="2488">
        <f>SUM(J824:J829)</f>
        <v>0</v>
      </c>
      <c r="K823" s="2482"/>
    </row>
    <row r="824" spans="1:226" s="2484" customFormat="1" ht="15" customHeight="1">
      <c r="A824" s="3140"/>
      <c r="B824" s="3149"/>
      <c r="C824" s="3145"/>
      <c r="D824" s="3146"/>
      <c r="E824" s="2489" t="s">
        <v>582</v>
      </c>
      <c r="F824" s="2490">
        <f>SUM(G824:J824)</f>
        <v>884038</v>
      </c>
      <c r="G824" s="2490">
        <v>884038</v>
      </c>
      <c r="H824" s="2490"/>
      <c r="I824" s="2490"/>
      <c r="J824" s="2491"/>
      <c r="K824" s="2482"/>
    </row>
    <row r="825" spans="1:226" s="2484" customFormat="1" ht="15" customHeight="1">
      <c r="A825" s="3140"/>
      <c r="B825" s="3149"/>
      <c r="C825" s="3145"/>
      <c r="D825" s="3146"/>
      <c r="E825" s="2489" t="s">
        <v>676</v>
      </c>
      <c r="F825" s="2490">
        <f t="shared" ref="F825:F828" si="84">SUM(G825:J825)</f>
        <v>19795697</v>
      </c>
      <c r="G825" s="2490"/>
      <c r="H825" s="2490">
        <f>5136564+14659133</f>
        <v>19795697</v>
      </c>
      <c r="I825" s="2490"/>
      <c r="J825" s="2491"/>
      <c r="K825" s="2482"/>
    </row>
    <row r="826" spans="1:226" s="2484" customFormat="1" ht="15" customHeight="1">
      <c r="A826" s="3140"/>
      <c r="B826" s="3149"/>
      <c r="C826" s="3145"/>
      <c r="D826" s="3146"/>
      <c r="E826" s="2489" t="s">
        <v>677</v>
      </c>
      <c r="F826" s="2490">
        <f t="shared" si="84"/>
        <v>3493437</v>
      </c>
      <c r="G826" s="2490">
        <f>372057+908014</f>
        <v>1280071</v>
      </c>
      <c r="H826" s="2490"/>
      <c r="I826" s="2490">
        <f>534396+1678970</f>
        <v>2213366</v>
      </c>
      <c r="J826" s="2491"/>
      <c r="K826" s="2482"/>
    </row>
    <row r="827" spans="1:226" s="2484" customFormat="1" ht="15" customHeight="1">
      <c r="A827" s="3141"/>
      <c r="B827" s="3150"/>
      <c r="C827" s="3116"/>
      <c r="D827" s="3118"/>
      <c r="E827" s="2489" t="s">
        <v>576</v>
      </c>
      <c r="F827" s="2490">
        <f t="shared" si="84"/>
        <v>700000</v>
      </c>
      <c r="G827" s="2490">
        <v>700000</v>
      </c>
      <c r="H827" s="2490"/>
      <c r="I827" s="2490"/>
      <c r="J827" s="2491"/>
      <c r="K827" s="2482"/>
    </row>
    <row r="828" spans="1:226" s="2485" customFormat="1" ht="15" hidden="1" customHeight="1">
      <c r="A828" s="2500"/>
      <c r="B828" s="2501"/>
      <c r="C828" s="2493"/>
      <c r="D828" s="2502"/>
      <c r="E828" s="2489" t="s">
        <v>655</v>
      </c>
      <c r="F828" s="2490">
        <f t="shared" si="84"/>
        <v>0</v>
      </c>
      <c r="G828" s="2490"/>
      <c r="H828" s="2490"/>
      <c r="I828" s="2490"/>
      <c r="J828" s="2491"/>
      <c r="K828" s="2482"/>
      <c r="L828" s="2484"/>
      <c r="M828" s="2484"/>
      <c r="N828" s="2484"/>
      <c r="O828" s="2484"/>
      <c r="P828" s="2484"/>
      <c r="Q828" s="2484"/>
      <c r="R828" s="2484"/>
      <c r="S828" s="2484"/>
      <c r="T828" s="2484"/>
      <c r="U828" s="2484"/>
      <c r="V828" s="2484"/>
      <c r="W828" s="2484"/>
      <c r="X828" s="2484"/>
      <c r="Y828" s="2484"/>
      <c r="Z828" s="2484"/>
      <c r="AA828" s="2484"/>
      <c r="AB828" s="2484"/>
      <c r="AC828" s="2484"/>
      <c r="AD828" s="2484"/>
      <c r="AE828" s="2484"/>
      <c r="AF828" s="2484"/>
      <c r="AG828" s="2484"/>
      <c r="AH828" s="2484"/>
      <c r="AI828" s="2484"/>
      <c r="AJ828" s="2484"/>
      <c r="AK828" s="2484"/>
      <c r="AL828" s="2484"/>
      <c r="AM828" s="2484"/>
      <c r="AN828" s="2484"/>
      <c r="AO828" s="2484"/>
      <c r="AP828" s="2484"/>
      <c r="AQ828" s="2484"/>
      <c r="AR828" s="2484"/>
      <c r="AS828" s="2484"/>
      <c r="AT828" s="2484"/>
      <c r="AU828" s="2484"/>
      <c r="AV828" s="2484"/>
      <c r="AW828" s="2484"/>
      <c r="AX828" s="2484"/>
      <c r="AY828" s="2484"/>
      <c r="AZ828" s="2484"/>
      <c r="BA828" s="2484"/>
      <c r="BB828" s="2484"/>
      <c r="BC828" s="2484"/>
      <c r="BD828" s="2484"/>
      <c r="BE828" s="2484"/>
      <c r="BF828" s="2484"/>
      <c r="BG828" s="2484"/>
      <c r="BH828" s="2484"/>
      <c r="BI828" s="2484"/>
      <c r="BJ828" s="2484"/>
      <c r="BK828" s="2484"/>
      <c r="BL828" s="2484"/>
      <c r="BM828" s="2484"/>
      <c r="BN828" s="2484"/>
      <c r="BO828" s="2484"/>
      <c r="BP828" s="2484"/>
      <c r="BQ828" s="2484"/>
      <c r="BR828" s="2484"/>
      <c r="BS828" s="2484"/>
      <c r="BT828" s="2484"/>
      <c r="BU828" s="2484"/>
      <c r="BV828" s="2484"/>
      <c r="BW828" s="2484"/>
      <c r="BX828" s="2484"/>
      <c r="BY828" s="2484"/>
      <c r="BZ828" s="2484"/>
      <c r="CA828" s="2484"/>
      <c r="CB828" s="2484"/>
      <c r="CC828" s="2484"/>
      <c r="CD828" s="2484"/>
      <c r="CE828" s="2484"/>
      <c r="CF828" s="2484"/>
      <c r="CG828" s="2484"/>
      <c r="CH828" s="2484"/>
      <c r="CI828" s="2484"/>
      <c r="CJ828" s="2484"/>
      <c r="CK828" s="2484"/>
      <c r="CL828" s="2484"/>
      <c r="CM828" s="2484"/>
      <c r="CN828" s="2484"/>
      <c r="CO828" s="2484"/>
      <c r="CP828" s="2484"/>
      <c r="CQ828" s="2484"/>
      <c r="CR828" s="2484"/>
      <c r="CS828" s="2484"/>
      <c r="CT828" s="2484"/>
      <c r="CU828" s="2484"/>
      <c r="CV828" s="2484"/>
      <c r="CW828" s="2484"/>
      <c r="CX828" s="2484"/>
      <c r="CY828" s="2484"/>
      <c r="CZ828" s="2484"/>
      <c r="DA828" s="2484"/>
      <c r="DB828" s="2484"/>
      <c r="DC828" s="2484"/>
      <c r="DD828" s="2484"/>
      <c r="DE828" s="2484"/>
      <c r="DF828" s="2484"/>
      <c r="DG828" s="2484"/>
      <c r="DH828" s="2484"/>
      <c r="DI828" s="2484"/>
      <c r="DJ828" s="2484"/>
      <c r="DK828" s="2484"/>
      <c r="DL828" s="2484"/>
      <c r="DM828" s="2484"/>
      <c r="DN828" s="2484"/>
      <c r="DO828" s="2484"/>
      <c r="DP828" s="2484"/>
      <c r="DQ828" s="2484"/>
      <c r="DR828" s="2484"/>
      <c r="DS828" s="2484"/>
      <c r="DT828" s="2484"/>
      <c r="DU828" s="2484"/>
      <c r="DV828" s="2484"/>
      <c r="DW828" s="2484"/>
      <c r="DX828" s="2484"/>
      <c r="DY828" s="2484"/>
      <c r="DZ828" s="2484"/>
      <c r="EA828" s="2484"/>
      <c r="EB828" s="2484"/>
      <c r="EC828" s="2484"/>
      <c r="ED828" s="2484"/>
      <c r="EE828" s="2484"/>
      <c r="EF828" s="2484"/>
      <c r="EG828" s="2484"/>
      <c r="EH828" s="2484"/>
      <c r="EI828" s="2484"/>
      <c r="EJ828" s="2484"/>
      <c r="EK828" s="2484"/>
      <c r="EL828" s="2484"/>
      <c r="EM828" s="2484"/>
      <c r="EN828" s="2484"/>
      <c r="EO828" s="2484"/>
      <c r="EP828" s="2484"/>
      <c r="EQ828" s="2484"/>
      <c r="ER828" s="2484"/>
      <c r="ES828" s="2484"/>
      <c r="ET828" s="2484"/>
      <c r="EU828" s="2484"/>
      <c r="EV828" s="2484"/>
      <c r="EW828" s="2484"/>
      <c r="EX828" s="2484"/>
      <c r="EY828" s="2484"/>
      <c r="EZ828" s="2484"/>
      <c r="FA828" s="2484"/>
      <c r="FB828" s="2484"/>
      <c r="FC828" s="2484"/>
      <c r="FD828" s="2484"/>
      <c r="FE828" s="2484"/>
      <c r="FF828" s="2484"/>
      <c r="FG828" s="2484"/>
      <c r="FH828" s="2484"/>
      <c r="FI828" s="2484"/>
      <c r="FJ828" s="2484"/>
      <c r="FK828" s="2484"/>
      <c r="FL828" s="2484"/>
      <c r="FM828" s="2484"/>
      <c r="FN828" s="2484"/>
      <c r="FO828" s="2484"/>
      <c r="FP828" s="2484"/>
      <c r="FQ828" s="2484"/>
      <c r="FR828" s="2484"/>
      <c r="FS828" s="2484"/>
      <c r="FT828" s="2484"/>
      <c r="FU828" s="2484"/>
      <c r="FV828" s="2484"/>
      <c r="FW828" s="2484"/>
      <c r="FX828" s="2484"/>
      <c r="FY828" s="2484"/>
      <c r="FZ828" s="2484"/>
      <c r="GA828" s="2484"/>
      <c r="GB828" s="2484"/>
      <c r="GC828" s="2484"/>
      <c r="GD828" s="2484"/>
      <c r="GE828" s="2484"/>
      <c r="GF828" s="2484"/>
      <c r="GG828" s="2484"/>
      <c r="GH828" s="2484"/>
      <c r="GI828" s="2484"/>
      <c r="GJ828" s="2484"/>
      <c r="GK828" s="2484"/>
      <c r="GL828" s="2484"/>
      <c r="GM828" s="2484"/>
      <c r="GN828" s="2484"/>
      <c r="GO828" s="2484"/>
      <c r="GP828" s="2484"/>
      <c r="GQ828" s="2484"/>
      <c r="GR828" s="2484"/>
      <c r="GS828" s="2484"/>
      <c r="GT828" s="2484"/>
      <c r="GU828" s="2484"/>
      <c r="GV828" s="2484"/>
      <c r="GW828" s="2484"/>
      <c r="GX828" s="2484"/>
      <c r="GY828" s="2484"/>
      <c r="GZ828" s="2484"/>
      <c r="HA828" s="2484"/>
      <c r="HB828" s="2484"/>
      <c r="HC828" s="2484"/>
      <c r="HD828" s="2484"/>
      <c r="HE828" s="2484"/>
      <c r="HF828" s="2484"/>
      <c r="HG828" s="2484"/>
      <c r="HH828" s="2484"/>
      <c r="HI828" s="2484"/>
      <c r="HJ828" s="2484"/>
      <c r="HK828" s="2484"/>
      <c r="HL828" s="2484"/>
      <c r="HM828" s="2484"/>
      <c r="HN828" s="2484"/>
      <c r="HO828" s="2484"/>
      <c r="HP828" s="2484"/>
      <c r="HQ828" s="2484"/>
      <c r="HR828" s="2484"/>
    </row>
    <row r="829" spans="1:226" s="2485" customFormat="1" ht="15" hidden="1" customHeight="1">
      <c r="A829" s="2500"/>
      <c r="B829" s="2501"/>
      <c r="C829" s="2493"/>
      <c r="D829" s="2502"/>
      <c r="E829" s="2503">
        <v>6069</v>
      </c>
      <c r="F829" s="2490">
        <f>SUM(G829:J829)</f>
        <v>0</v>
      </c>
      <c r="G829" s="2490"/>
      <c r="H829" s="2490"/>
      <c r="I829" s="2490"/>
      <c r="J829" s="2491"/>
      <c r="K829" s="2482"/>
    </row>
    <row r="830" spans="1:226" s="2485" customFormat="1" ht="22.5">
      <c r="A830" s="3112" t="s">
        <v>1103</v>
      </c>
      <c r="B830" s="3113" t="s">
        <v>1167</v>
      </c>
      <c r="C830" s="3114">
        <v>600</v>
      </c>
      <c r="D830" s="3134" t="s">
        <v>682</v>
      </c>
      <c r="E830" s="2479" t="s">
        <v>1086</v>
      </c>
      <c r="F830" s="2480">
        <f>SUM(F831,F838)</f>
        <v>2587537</v>
      </c>
      <c r="G830" s="2480">
        <f>SUM(G831,G838)</f>
        <v>373691</v>
      </c>
      <c r="H830" s="2480">
        <f>SUM(H831,H838)</f>
        <v>2010025</v>
      </c>
      <c r="I830" s="2480">
        <f>SUM(I831,I838)</f>
        <v>0</v>
      </c>
      <c r="J830" s="2481">
        <f>SUM(J831,J838)</f>
        <v>203821</v>
      </c>
      <c r="K830" s="2482"/>
    </row>
    <row r="831" spans="1:226" s="2485" customFormat="1" ht="15" customHeight="1">
      <c r="A831" s="3112"/>
      <c r="B831" s="3113"/>
      <c r="C831" s="3114"/>
      <c r="D831" s="3134"/>
      <c r="E831" s="2486" t="s">
        <v>739</v>
      </c>
      <c r="F831" s="2487">
        <f>SUM(F832,F835)</f>
        <v>0</v>
      </c>
      <c r="G831" s="2487">
        <f>SUM(G832,G835)</f>
        <v>0</v>
      </c>
      <c r="H831" s="2487">
        <f>SUM(H832,H835)</f>
        <v>0</v>
      </c>
      <c r="I831" s="2487">
        <f>SUM(I832,I835)</f>
        <v>0</v>
      </c>
      <c r="J831" s="2488">
        <f>SUM(J832,J835)</f>
        <v>0</v>
      </c>
      <c r="K831" s="2482"/>
    </row>
    <row r="832" spans="1:226" s="2485" customFormat="1" ht="15" hidden="1" customHeight="1">
      <c r="A832" s="3112"/>
      <c r="B832" s="3113"/>
      <c r="C832" s="3114"/>
      <c r="D832" s="3134"/>
      <c r="E832" s="2497" t="s">
        <v>1093</v>
      </c>
      <c r="F832" s="2498">
        <f>SUM(F833:F834)</f>
        <v>0</v>
      </c>
      <c r="G832" s="2498">
        <f>SUM(G833:G834)</f>
        <v>0</v>
      </c>
      <c r="H832" s="2498">
        <f>SUM(H833:H834)</f>
        <v>0</v>
      </c>
      <c r="I832" s="2498">
        <f>SUM(I833:I834)</f>
        <v>0</v>
      </c>
      <c r="J832" s="2499">
        <f>SUM(J833:J834)</f>
        <v>0</v>
      </c>
      <c r="K832" s="2482"/>
    </row>
    <row r="833" spans="1:226" s="2485" customFormat="1" ht="15" hidden="1" customHeight="1">
      <c r="A833" s="3112"/>
      <c r="B833" s="3113"/>
      <c r="C833" s="3114"/>
      <c r="D833" s="3134"/>
      <c r="E833" s="2489"/>
      <c r="F833" s="2490">
        <f>SUM(G833:J833)</f>
        <v>0</v>
      </c>
      <c r="G833" s="2490"/>
      <c r="H833" s="2490"/>
      <c r="I833" s="2490"/>
      <c r="J833" s="2491"/>
      <c r="K833" s="2482"/>
    </row>
    <row r="834" spans="1:226" s="2485" customFormat="1" ht="15" hidden="1" customHeight="1">
      <c r="A834" s="3112"/>
      <c r="B834" s="3113"/>
      <c r="C834" s="3114"/>
      <c r="D834" s="3134"/>
      <c r="E834" s="2489"/>
      <c r="F834" s="2490">
        <f>SUM(G834:J834)</f>
        <v>0</v>
      </c>
      <c r="G834" s="2490"/>
      <c r="H834" s="2490"/>
      <c r="I834" s="2490"/>
      <c r="J834" s="2491"/>
      <c r="K834" s="2482"/>
      <c r="L834" s="2484"/>
      <c r="M834" s="2484"/>
      <c r="N834" s="2484"/>
      <c r="O834" s="2484"/>
      <c r="P834" s="2484"/>
      <c r="Q834" s="2484"/>
      <c r="R834" s="2484"/>
      <c r="S834" s="2484"/>
      <c r="T834" s="2484"/>
      <c r="U834" s="2484"/>
      <c r="V834" s="2484"/>
      <c r="W834" s="2484"/>
      <c r="X834" s="2484"/>
      <c r="Y834" s="2484"/>
      <c r="Z834" s="2484"/>
      <c r="AA834" s="2484"/>
      <c r="AB834" s="2484"/>
      <c r="AC834" s="2484"/>
      <c r="AD834" s="2484"/>
      <c r="AE834" s="2484"/>
      <c r="AF834" s="2484"/>
      <c r="AG834" s="2484"/>
      <c r="AH834" s="2484"/>
      <c r="AI834" s="2484"/>
      <c r="AJ834" s="2484"/>
      <c r="AK834" s="2484"/>
      <c r="AL834" s="2484"/>
      <c r="AM834" s="2484"/>
      <c r="AN834" s="2484"/>
      <c r="AO834" s="2484"/>
      <c r="AP834" s="2484"/>
      <c r="AQ834" s="2484"/>
      <c r="AR834" s="2484"/>
      <c r="AS834" s="2484"/>
      <c r="AT834" s="2484"/>
      <c r="AU834" s="2484"/>
      <c r="AV834" s="2484"/>
      <c r="AW834" s="2484"/>
      <c r="AX834" s="2484"/>
      <c r="AY834" s="2484"/>
      <c r="AZ834" s="2484"/>
      <c r="BA834" s="2484"/>
      <c r="BB834" s="2484"/>
      <c r="BC834" s="2484"/>
      <c r="BD834" s="2484"/>
      <c r="BE834" s="2484"/>
      <c r="BF834" s="2484"/>
      <c r="BG834" s="2484"/>
      <c r="BH834" s="2484"/>
      <c r="BI834" s="2484"/>
      <c r="BJ834" s="2484"/>
      <c r="BK834" s="2484"/>
      <c r="BL834" s="2484"/>
      <c r="BM834" s="2484"/>
      <c r="BN834" s="2484"/>
      <c r="BO834" s="2484"/>
      <c r="BP834" s="2484"/>
      <c r="BQ834" s="2484"/>
      <c r="BR834" s="2484"/>
      <c r="BS834" s="2484"/>
      <c r="BT834" s="2484"/>
      <c r="BU834" s="2484"/>
      <c r="BV834" s="2484"/>
      <c r="BW834" s="2484"/>
      <c r="BX834" s="2484"/>
      <c r="BY834" s="2484"/>
      <c r="BZ834" s="2484"/>
      <c r="CA834" s="2484"/>
      <c r="CB834" s="2484"/>
      <c r="CC834" s="2484"/>
      <c r="CD834" s="2484"/>
      <c r="CE834" s="2484"/>
      <c r="CF834" s="2484"/>
      <c r="CG834" s="2484"/>
      <c r="CH834" s="2484"/>
      <c r="CI834" s="2484"/>
      <c r="CJ834" s="2484"/>
      <c r="CK834" s="2484"/>
      <c r="CL834" s="2484"/>
      <c r="CM834" s="2484"/>
      <c r="CN834" s="2484"/>
      <c r="CO834" s="2484"/>
      <c r="CP834" s="2484"/>
      <c r="CQ834" s="2484"/>
      <c r="CR834" s="2484"/>
      <c r="CS834" s="2484"/>
      <c r="CT834" s="2484"/>
      <c r="CU834" s="2484"/>
      <c r="CV834" s="2484"/>
      <c r="CW834" s="2484"/>
      <c r="CX834" s="2484"/>
      <c r="CY834" s="2484"/>
      <c r="CZ834" s="2484"/>
      <c r="DA834" s="2484"/>
      <c r="DB834" s="2484"/>
      <c r="DC834" s="2484"/>
      <c r="DD834" s="2484"/>
      <c r="DE834" s="2484"/>
      <c r="DF834" s="2484"/>
      <c r="DG834" s="2484"/>
      <c r="DH834" s="2484"/>
      <c r="DI834" s="2484"/>
      <c r="DJ834" s="2484"/>
      <c r="DK834" s="2484"/>
      <c r="DL834" s="2484"/>
      <c r="DM834" s="2484"/>
      <c r="DN834" s="2484"/>
      <c r="DO834" s="2484"/>
      <c r="DP834" s="2484"/>
      <c r="DQ834" s="2484"/>
      <c r="DR834" s="2484"/>
      <c r="DS834" s="2484"/>
      <c r="DT834" s="2484"/>
      <c r="DU834" s="2484"/>
      <c r="DV834" s="2484"/>
      <c r="DW834" s="2484"/>
      <c r="DX834" s="2484"/>
      <c r="DY834" s="2484"/>
      <c r="DZ834" s="2484"/>
      <c r="EA834" s="2484"/>
      <c r="EB834" s="2484"/>
      <c r="EC834" s="2484"/>
      <c r="ED834" s="2484"/>
      <c r="EE834" s="2484"/>
      <c r="EF834" s="2484"/>
      <c r="EG834" s="2484"/>
      <c r="EH834" s="2484"/>
      <c r="EI834" s="2484"/>
      <c r="EJ834" s="2484"/>
      <c r="EK834" s="2484"/>
      <c r="EL834" s="2484"/>
      <c r="EM834" s="2484"/>
      <c r="EN834" s="2484"/>
      <c r="EO834" s="2484"/>
      <c r="EP834" s="2484"/>
      <c r="EQ834" s="2484"/>
      <c r="ER834" s="2484"/>
      <c r="ES834" s="2484"/>
      <c r="ET834" s="2484"/>
      <c r="EU834" s="2484"/>
      <c r="EV834" s="2484"/>
      <c r="EW834" s="2484"/>
      <c r="EX834" s="2484"/>
      <c r="EY834" s="2484"/>
      <c r="EZ834" s="2484"/>
      <c r="FA834" s="2484"/>
      <c r="FB834" s="2484"/>
      <c r="FC834" s="2484"/>
      <c r="FD834" s="2484"/>
      <c r="FE834" s="2484"/>
      <c r="FF834" s="2484"/>
      <c r="FG834" s="2484"/>
      <c r="FH834" s="2484"/>
      <c r="FI834" s="2484"/>
      <c r="FJ834" s="2484"/>
      <c r="FK834" s="2484"/>
      <c r="FL834" s="2484"/>
      <c r="FM834" s="2484"/>
      <c r="FN834" s="2484"/>
      <c r="FO834" s="2484"/>
      <c r="FP834" s="2484"/>
      <c r="FQ834" s="2484"/>
      <c r="FR834" s="2484"/>
      <c r="FS834" s="2484"/>
      <c r="FT834" s="2484"/>
      <c r="FU834" s="2484"/>
      <c r="FV834" s="2484"/>
      <c r="FW834" s="2484"/>
      <c r="FX834" s="2484"/>
      <c r="FY834" s="2484"/>
      <c r="FZ834" s="2484"/>
      <c r="GA834" s="2484"/>
      <c r="GB834" s="2484"/>
      <c r="GC834" s="2484"/>
      <c r="GD834" s="2484"/>
      <c r="GE834" s="2484"/>
      <c r="GF834" s="2484"/>
      <c r="GG834" s="2484"/>
      <c r="GH834" s="2484"/>
      <c r="GI834" s="2484"/>
      <c r="GJ834" s="2484"/>
      <c r="GK834" s="2484"/>
      <c r="GL834" s="2484"/>
      <c r="GM834" s="2484"/>
      <c r="GN834" s="2484"/>
      <c r="GO834" s="2484"/>
      <c r="GP834" s="2484"/>
      <c r="GQ834" s="2484"/>
      <c r="GR834" s="2484"/>
      <c r="GS834" s="2484"/>
      <c r="GT834" s="2484"/>
      <c r="GU834" s="2484"/>
      <c r="GV834" s="2484"/>
      <c r="GW834" s="2484"/>
      <c r="GX834" s="2484"/>
      <c r="GY834" s="2484"/>
      <c r="GZ834" s="2484"/>
      <c r="HA834" s="2484"/>
      <c r="HB834" s="2484"/>
      <c r="HC834" s="2484"/>
      <c r="HD834" s="2484"/>
      <c r="HE834" s="2484"/>
      <c r="HF834" s="2484"/>
      <c r="HG834" s="2484"/>
      <c r="HH834" s="2484"/>
      <c r="HI834" s="2484"/>
      <c r="HJ834" s="2484"/>
      <c r="HK834" s="2484"/>
      <c r="HL834" s="2484"/>
      <c r="HM834" s="2484"/>
      <c r="HN834" s="2484"/>
      <c r="HO834" s="2484"/>
      <c r="HP834" s="2484"/>
      <c r="HQ834" s="2484"/>
      <c r="HR834" s="2484"/>
    </row>
    <row r="835" spans="1:226" s="2485" customFormat="1" ht="15" hidden="1" customHeight="1">
      <c r="A835" s="3112"/>
      <c r="B835" s="3113"/>
      <c r="C835" s="3114"/>
      <c r="D835" s="3134"/>
      <c r="E835" s="2497" t="s">
        <v>1094</v>
      </c>
      <c r="F835" s="2498">
        <f>SUM(F836:F837)</f>
        <v>0</v>
      </c>
      <c r="G835" s="2498">
        <f>SUM(G836:G837)</f>
        <v>0</v>
      </c>
      <c r="H835" s="2498">
        <f>SUM(H836:H837)</f>
        <v>0</v>
      </c>
      <c r="I835" s="2498">
        <f>SUM(I836:I837)</f>
        <v>0</v>
      </c>
      <c r="J835" s="2499">
        <f>SUM(J836:J837)</f>
        <v>0</v>
      </c>
      <c r="K835" s="2482"/>
    </row>
    <row r="836" spans="1:226" s="2485" customFormat="1" ht="15" hidden="1" customHeight="1">
      <c r="A836" s="3112"/>
      <c r="B836" s="3113"/>
      <c r="C836" s="3114"/>
      <c r="D836" s="3134"/>
      <c r="E836" s="2489"/>
      <c r="F836" s="2490">
        <f>SUM(G836:J836)</f>
        <v>0</v>
      </c>
      <c r="G836" s="2490"/>
      <c r="H836" s="2490"/>
      <c r="I836" s="2490"/>
      <c r="J836" s="2491"/>
      <c r="K836" s="2482"/>
    </row>
    <row r="837" spans="1:226" s="2485" customFormat="1" ht="15" hidden="1" customHeight="1">
      <c r="A837" s="3112"/>
      <c r="B837" s="3113"/>
      <c r="C837" s="3114"/>
      <c r="D837" s="3134"/>
      <c r="E837" s="2489"/>
      <c r="F837" s="2490">
        <f>SUM(G837:J837)</f>
        <v>0</v>
      </c>
      <c r="G837" s="2490"/>
      <c r="H837" s="2490"/>
      <c r="I837" s="2490"/>
      <c r="J837" s="2491"/>
      <c r="K837" s="2482"/>
    </row>
    <row r="838" spans="1:226" s="2485" customFormat="1" ht="15" customHeight="1">
      <c r="A838" s="3112"/>
      <c r="B838" s="3113"/>
      <c r="C838" s="3114"/>
      <c r="D838" s="3134"/>
      <c r="E838" s="2492" t="s">
        <v>1087</v>
      </c>
      <c r="F838" s="2487">
        <f>SUM(F839:F844)</f>
        <v>2587537</v>
      </c>
      <c r="G838" s="2487">
        <f>SUM(G839:G844)</f>
        <v>373691</v>
      </c>
      <c r="H838" s="2487">
        <f>SUM(H839:H844)</f>
        <v>2010025</v>
      </c>
      <c r="I838" s="2487">
        <f>SUM(I839:I844)</f>
        <v>0</v>
      </c>
      <c r="J838" s="2488">
        <f>SUM(J839:J844)</f>
        <v>203821</v>
      </c>
      <c r="K838" s="2482"/>
    </row>
    <row r="839" spans="1:226" s="2485" customFormat="1" ht="15" customHeight="1">
      <c r="A839" s="3112"/>
      <c r="B839" s="3113"/>
      <c r="C839" s="3114"/>
      <c r="D839" s="3134"/>
      <c r="E839" s="2489" t="s">
        <v>582</v>
      </c>
      <c r="F839" s="2490">
        <f t="shared" ref="F839:F844" si="85">SUM(G839:J839)</f>
        <v>221458</v>
      </c>
      <c r="G839" s="2490">
        <v>17637</v>
      </c>
      <c r="H839" s="2490"/>
      <c r="I839" s="2490"/>
      <c r="J839" s="2491">
        <v>203821</v>
      </c>
      <c r="K839" s="2482"/>
    </row>
    <row r="840" spans="1:226" s="2485" customFormat="1" ht="15" customHeight="1">
      <c r="A840" s="3112"/>
      <c r="B840" s="3113"/>
      <c r="C840" s="3114"/>
      <c r="D840" s="3134"/>
      <c r="E840" s="2489" t="s">
        <v>676</v>
      </c>
      <c r="F840" s="2490">
        <f t="shared" si="85"/>
        <v>1797525</v>
      </c>
      <c r="G840" s="2490"/>
      <c r="H840" s="2490">
        <v>1797525</v>
      </c>
      <c r="I840" s="2490"/>
      <c r="J840" s="2491"/>
      <c r="K840" s="2482"/>
    </row>
    <row r="841" spans="1:226" s="2485" customFormat="1" ht="15" customHeight="1">
      <c r="A841" s="3112"/>
      <c r="B841" s="3113"/>
      <c r="C841" s="3114"/>
      <c r="D841" s="3134"/>
      <c r="E841" s="2489" t="s">
        <v>677</v>
      </c>
      <c r="F841" s="2490">
        <f t="shared" si="85"/>
        <v>318554</v>
      </c>
      <c r="G841" s="2490">
        <v>318554</v>
      </c>
      <c r="H841" s="2490"/>
      <c r="I841" s="2490"/>
      <c r="J841" s="2491"/>
      <c r="K841" s="2482"/>
    </row>
    <row r="842" spans="1:226" s="2485" customFormat="1" ht="15" hidden="1" customHeight="1">
      <c r="A842" s="3112"/>
      <c r="B842" s="3113"/>
      <c r="C842" s="3114"/>
      <c r="D842" s="3134"/>
      <c r="E842" s="2489" t="s">
        <v>576</v>
      </c>
      <c r="F842" s="2490">
        <f t="shared" si="85"/>
        <v>0</v>
      </c>
      <c r="G842" s="2490"/>
      <c r="H842" s="2490"/>
      <c r="I842" s="2490"/>
      <c r="J842" s="2491"/>
      <c r="K842" s="2482"/>
    </row>
    <row r="843" spans="1:226" s="2485" customFormat="1" ht="15" customHeight="1">
      <c r="A843" s="3112"/>
      <c r="B843" s="3113"/>
      <c r="C843" s="3114"/>
      <c r="D843" s="3134"/>
      <c r="E843" s="2489" t="s">
        <v>655</v>
      </c>
      <c r="F843" s="2490">
        <f t="shared" si="85"/>
        <v>212500</v>
      </c>
      <c r="G843" s="2490"/>
      <c r="H843" s="2490">
        <v>212500</v>
      </c>
      <c r="I843" s="2490"/>
      <c r="J843" s="2491"/>
      <c r="K843" s="2482"/>
    </row>
    <row r="844" spans="1:226" s="2485" customFormat="1" ht="15" customHeight="1">
      <c r="A844" s="3112"/>
      <c r="B844" s="3113"/>
      <c r="C844" s="3114"/>
      <c r="D844" s="3134"/>
      <c r="E844" s="2503">
        <v>6069</v>
      </c>
      <c r="F844" s="2490">
        <f t="shared" si="85"/>
        <v>37500</v>
      </c>
      <c r="G844" s="2490">
        <v>37500</v>
      </c>
      <c r="H844" s="2490"/>
      <c r="I844" s="2490"/>
      <c r="J844" s="2491"/>
      <c r="K844" s="2482"/>
    </row>
    <row r="845" spans="1:226" s="2485" customFormat="1" ht="22.5">
      <c r="A845" s="3112" t="s">
        <v>1105</v>
      </c>
      <c r="B845" s="3113" t="s">
        <v>1168</v>
      </c>
      <c r="C845" s="3114">
        <v>600</v>
      </c>
      <c r="D845" s="3134" t="s">
        <v>682</v>
      </c>
      <c r="E845" s="2479" t="s">
        <v>1086</v>
      </c>
      <c r="F845" s="2480">
        <f>SUM(F846,F853)</f>
        <v>408000</v>
      </c>
      <c r="G845" s="2480">
        <f>SUM(G846,G853)</f>
        <v>61200</v>
      </c>
      <c r="H845" s="2480">
        <f>SUM(H846,H853)</f>
        <v>346800</v>
      </c>
      <c r="I845" s="2480">
        <f>SUM(I846,I853)</f>
        <v>0</v>
      </c>
      <c r="J845" s="2481">
        <f>SUM(J846,J853)</f>
        <v>0</v>
      </c>
      <c r="K845" s="2482"/>
    </row>
    <row r="846" spans="1:226" s="2485" customFormat="1" ht="15" customHeight="1">
      <c r="A846" s="3112"/>
      <c r="B846" s="3113"/>
      <c r="C846" s="3114"/>
      <c r="D846" s="3134"/>
      <c r="E846" s="2486" t="s">
        <v>739</v>
      </c>
      <c r="F846" s="2487">
        <f>SUM(F847,F850)</f>
        <v>0</v>
      </c>
      <c r="G846" s="2487">
        <f>SUM(G847,G850)</f>
        <v>0</v>
      </c>
      <c r="H846" s="2487">
        <f>SUM(H847,H850)</f>
        <v>0</v>
      </c>
      <c r="I846" s="2487">
        <f>SUM(I847,I850)</f>
        <v>0</v>
      </c>
      <c r="J846" s="2488">
        <f>SUM(J847,J850)</f>
        <v>0</v>
      </c>
      <c r="K846" s="2482"/>
    </row>
    <row r="847" spans="1:226" s="2485" customFormat="1" ht="15" hidden="1" customHeight="1">
      <c r="A847" s="3112"/>
      <c r="B847" s="3113"/>
      <c r="C847" s="3114"/>
      <c r="D847" s="3134"/>
      <c r="E847" s="2497" t="s">
        <v>1093</v>
      </c>
      <c r="F847" s="2498">
        <f>SUM(F848:F849)</f>
        <v>0</v>
      </c>
      <c r="G847" s="2498">
        <f>SUM(G848:G849)</f>
        <v>0</v>
      </c>
      <c r="H847" s="2498">
        <f>SUM(H848:H849)</f>
        <v>0</v>
      </c>
      <c r="I847" s="2498">
        <f>SUM(I848:I849)</f>
        <v>0</v>
      </c>
      <c r="J847" s="2499">
        <f>SUM(J848:J849)</f>
        <v>0</v>
      </c>
      <c r="K847" s="2482"/>
    </row>
    <row r="848" spans="1:226" s="2485" customFormat="1" ht="15" hidden="1" customHeight="1">
      <c r="A848" s="3112"/>
      <c r="B848" s="3113"/>
      <c r="C848" s="3114"/>
      <c r="D848" s="3134"/>
      <c r="E848" s="2489"/>
      <c r="F848" s="2490">
        <f>SUM(G848:J848)</f>
        <v>0</v>
      </c>
      <c r="G848" s="2490"/>
      <c r="H848" s="2490"/>
      <c r="I848" s="2490"/>
      <c r="J848" s="2491"/>
      <c r="K848" s="2482"/>
    </row>
    <row r="849" spans="1:226" s="2485" customFormat="1" ht="15" hidden="1" customHeight="1">
      <c r="A849" s="3112"/>
      <c r="B849" s="3113"/>
      <c r="C849" s="3114"/>
      <c r="D849" s="3134"/>
      <c r="E849" s="2489"/>
      <c r="F849" s="2490">
        <f>SUM(G849:J849)</f>
        <v>0</v>
      </c>
      <c r="G849" s="2490"/>
      <c r="H849" s="2490"/>
      <c r="I849" s="2490"/>
      <c r="J849" s="2491"/>
      <c r="K849" s="2482"/>
      <c r="L849" s="2484"/>
      <c r="M849" s="2484"/>
      <c r="N849" s="2484"/>
      <c r="O849" s="2484"/>
      <c r="P849" s="2484"/>
      <c r="Q849" s="2484"/>
      <c r="R849" s="2484"/>
      <c r="S849" s="2484"/>
      <c r="T849" s="2484"/>
      <c r="U849" s="2484"/>
      <c r="V849" s="2484"/>
      <c r="W849" s="2484"/>
      <c r="X849" s="2484"/>
      <c r="Y849" s="2484"/>
      <c r="Z849" s="2484"/>
      <c r="AA849" s="2484"/>
      <c r="AB849" s="2484"/>
      <c r="AC849" s="2484"/>
      <c r="AD849" s="2484"/>
      <c r="AE849" s="2484"/>
      <c r="AF849" s="2484"/>
      <c r="AG849" s="2484"/>
      <c r="AH849" s="2484"/>
      <c r="AI849" s="2484"/>
      <c r="AJ849" s="2484"/>
      <c r="AK849" s="2484"/>
      <c r="AL849" s="2484"/>
      <c r="AM849" s="2484"/>
      <c r="AN849" s="2484"/>
      <c r="AO849" s="2484"/>
      <c r="AP849" s="2484"/>
      <c r="AQ849" s="2484"/>
      <c r="AR849" s="2484"/>
      <c r="AS849" s="2484"/>
      <c r="AT849" s="2484"/>
      <c r="AU849" s="2484"/>
      <c r="AV849" s="2484"/>
      <c r="AW849" s="2484"/>
      <c r="AX849" s="2484"/>
      <c r="AY849" s="2484"/>
      <c r="AZ849" s="2484"/>
      <c r="BA849" s="2484"/>
      <c r="BB849" s="2484"/>
      <c r="BC849" s="2484"/>
      <c r="BD849" s="2484"/>
      <c r="BE849" s="2484"/>
      <c r="BF849" s="2484"/>
      <c r="BG849" s="2484"/>
      <c r="BH849" s="2484"/>
      <c r="BI849" s="2484"/>
      <c r="BJ849" s="2484"/>
      <c r="BK849" s="2484"/>
      <c r="BL849" s="2484"/>
      <c r="BM849" s="2484"/>
      <c r="BN849" s="2484"/>
      <c r="BO849" s="2484"/>
      <c r="BP849" s="2484"/>
      <c r="BQ849" s="2484"/>
      <c r="BR849" s="2484"/>
      <c r="BS849" s="2484"/>
      <c r="BT849" s="2484"/>
      <c r="BU849" s="2484"/>
      <c r="BV849" s="2484"/>
      <c r="BW849" s="2484"/>
      <c r="BX849" s="2484"/>
      <c r="BY849" s="2484"/>
      <c r="BZ849" s="2484"/>
      <c r="CA849" s="2484"/>
      <c r="CB849" s="2484"/>
      <c r="CC849" s="2484"/>
      <c r="CD849" s="2484"/>
      <c r="CE849" s="2484"/>
      <c r="CF849" s="2484"/>
      <c r="CG849" s="2484"/>
      <c r="CH849" s="2484"/>
      <c r="CI849" s="2484"/>
      <c r="CJ849" s="2484"/>
      <c r="CK849" s="2484"/>
      <c r="CL849" s="2484"/>
      <c r="CM849" s="2484"/>
      <c r="CN849" s="2484"/>
      <c r="CO849" s="2484"/>
      <c r="CP849" s="2484"/>
      <c r="CQ849" s="2484"/>
      <c r="CR849" s="2484"/>
      <c r="CS849" s="2484"/>
      <c r="CT849" s="2484"/>
      <c r="CU849" s="2484"/>
      <c r="CV849" s="2484"/>
      <c r="CW849" s="2484"/>
      <c r="CX849" s="2484"/>
      <c r="CY849" s="2484"/>
      <c r="CZ849" s="2484"/>
      <c r="DA849" s="2484"/>
      <c r="DB849" s="2484"/>
      <c r="DC849" s="2484"/>
      <c r="DD849" s="2484"/>
      <c r="DE849" s="2484"/>
      <c r="DF849" s="2484"/>
      <c r="DG849" s="2484"/>
      <c r="DH849" s="2484"/>
      <c r="DI849" s="2484"/>
      <c r="DJ849" s="2484"/>
      <c r="DK849" s="2484"/>
      <c r="DL849" s="2484"/>
      <c r="DM849" s="2484"/>
      <c r="DN849" s="2484"/>
      <c r="DO849" s="2484"/>
      <c r="DP849" s="2484"/>
      <c r="DQ849" s="2484"/>
      <c r="DR849" s="2484"/>
      <c r="DS849" s="2484"/>
      <c r="DT849" s="2484"/>
      <c r="DU849" s="2484"/>
      <c r="DV849" s="2484"/>
      <c r="DW849" s="2484"/>
      <c r="DX849" s="2484"/>
      <c r="DY849" s="2484"/>
      <c r="DZ849" s="2484"/>
      <c r="EA849" s="2484"/>
      <c r="EB849" s="2484"/>
      <c r="EC849" s="2484"/>
      <c r="ED849" s="2484"/>
      <c r="EE849" s="2484"/>
      <c r="EF849" s="2484"/>
      <c r="EG849" s="2484"/>
      <c r="EH849" s="2484"/>
      <c r="EI849" s="2484"/>
      <c r="EJ849" s="2484"/>
      <c r="EK849" s="2484"/>
      <c r="EL849" s="2484"/>
      <c r="EM849" s="2484"/>
      <c r="EN849" s="2484"/>
      <c r="EO849" s="2484"/>
      <c r="EP849" s="2484"/>
      <c r="EQ849" s="2484"/>
      <c r="ER849" s="2484"/>
      <c r="ES849" s="2484"/>
      <c r="ET849" s="2484"/>
      <c r="EU849" s="2484"/>
      <c r="EV849" s="2484"/>
      <c r="EW849" s="2484"/>
      <c r="EX849" s="2484"/>
      <c r="EY849" s="2484"/>
      <c r="EZ849" s="2484"/>
      <c r="FA849" s="2484"/>
      <c r="FB849" s="2484"/>
      <c r="FC849" s="2484"/>
      <c r="FD849" s="2484"/>
      <c r="FE849" s="2484"/>
      <c r="FF849" s="2484"/>
      <c r="FG849" s="2484"/>
      <c r="FH849" s="2484"/>
      <c r="FI849" s="2484"/>
      <c r="FJ849" s="2484"/>
      <c r="FK849" s="2484"/>
      <c r="FL849" s="2484"/>
      <c r="FM849" s="2484"/>
      <c r="FN849" s="2484"/>
      <c r="FO849" s="2484"/>
      <c r="FP849" s="2484"/>
      <c r="FQ849" s="2484"/>
      <c r="FR849" s="2484"/>
      <c r="FS849" s="2484"/>
      <c r="FT849" s="2484"/>
      <c r="FU849" s="2484"/>
      <c r="FV849" s="2484"/>
      <c r="FW849" s="2484"/>
      <c r="FX849" s="2484"/>
      <c r="FY849" s="2484"/>
      <c r="FZ849" s="2484"/>
      <c r="GA849" s="2484"/>
      <c r="GB849" s="2484"/>
      <c r="GC849" s="2484"/>
      <c r="GD849" s="2484"/>
      <c r="GE849" s="2484"/>
      <c r="GF849" s="2484"/>
      <c r="GG849" s="2484"/>
      <c r="GH849" s="2484"/>
      <c r="GI849" s="2484"/>
      <c r="GJ849" s="2484"/>
      <c r="GK849" s="2484"/>
      <c r="GL849" s="2484"/>
      <c r="GM849" s="2484"/>
      <c r="GN849" s="2484"/>
      <c r="GO849" s="2484"/>
      <c r="GP849" s="2484"/>
      <c r="GQ849" s="2484"/>
      <c r="GR849" s="2484"/>
      <c r="GS849" s="2484"/>
      <c r="GT849" s="2484"/>
      <c r="GU849" s="2484"/>
      <c r="GV849" s="2484"/>
      <c r="GW849" s="2484"/>
      <c r="GX849" s="2484"/>
      <c r="GY849" s="2484"/>
      <c r="GZ849" s="2484"/>
      <c r="HA849" s="2484"/>
      <c r="HB849" s="2484"/>
      <c r="HC849" s="2484"/>
      <c r="HD849" s="2484"/>
      <c r="HE849" s="2484"/>
      <c r="HF849" s="2484"/>
      <c r="HG849" s="2484"/>
      <c r="HH849" s="2484"/>
      <c r="HI849" s="2484"/>
      <c r="HJ849" s="2484"/>
      <c r="HK849" s="2484"/>
      <c r="HL849" s="2484"/>
      <c r="HM849" s="2484"/>
      <c r="HN849" s="2484"/>
      <c r="HO849" s="2484"/>
      <c r="HP849" s="2484"/>
      <c r="HQ849" s="2484"/>
      <c r="HR849" s="2484"/>
    </row>
    <row r="850" spans="1:226" s="2485" customFormat="1" ht="15" hidden="1" customHeight="1">
      <c r="A850" s="3112"/>
      <c r="B850" s="3113"/>
      <c r="C850" s="3114"/>
      <c r="D850" s="3134"/>
      <c r="E850" s="2497" t="s">
        <v>1094</v>
      </c>
      <c r="F850" s="2498">
        <f>SUM(F851:F852)</f>
        <v>0</v>
      </c>
      <c r="G850" s="2498">
        <f>SUM(G851:G852)</f>
        <v>0</v>
      </c>
      <c r="H850" s="2498">
        <f>SUM(H851:H852)</f>
        <v>0</v>
      </c>
      <c r="I850" s="2498">
        <f>SUM(I851:I852)</f>
        <v>0</v>
      </c>
      <c r="J850" s="2499">
        <f>SUM(J851:J852)</f>
        <v>0</v>
      </c>
      <c r="K850" s="2482"/>
    </row>
    <row r="851" spans="1:226" s="2485" customFormat="1" ht="15" hidden="1" customHeight="1">
      <c r="A851" s="3112"/>
      <c r="B851" s="3113"/>
      <c r="C851" s="3114"/>
      <c r="D851" s="3134"/>
      <c r="E851" s="2489"/>
      <c r="F851" s="2490">
        <f>SUM(G851:J851)</f>
        <v>0</v>
      </c>
      <c r="G851" s="2490"/>
      <c r="H851" s="2490"/>
      <c r="I851" s="2490"/>
      <c r="J851" s="2491"/>
      <c r="K851" s="2482"/>
    </row>
    <row r="852" spans="1:226" s="2485" customFormat="1" ht="15" hidden="1" customHeight="1">
      <c r="A852" s="3112"/>
      <c r="B852" s="3113"/>
      <c r="C852" s="3114"/>
      <c r="D852" s="3134"/>
      <c r="E852" s="2489"/>
      <c r="F852" s="2490">
        <f>SUM(G852:J852)</f>
        <v>0</v>
      </c>
      <c r="G852" s="2490"/>
      <c r="H852" s="2490"/>
      <c r="I852" s="2490"/>
      <c r="J852" s="2491"/>
      <c r="K852" s="2482"/>
    </row>
    <row r="853" spans="1:226" s="2485" customFormat="1" ht="15" customHeight="1">
      <c r="A853" s="3112"/>
      <c r="B853" s="3113"/>
      <c r="C853" s="3114"/>
      <c r="D853" s="3134"/>
      <c r="E853" s="2492" t="s">
        <v>1087</v>
      </c>
      <c r="F853" s="2487">
        <f>SUM(F854:F859)</f>
        <v>408000</v>
      </c>
      <c r="G853" s="2487">
        <f>SUM(G854:G859)</f>
        <v>61200</v>
      </c>
      <c r="H853" s="2487">
        <f>SUM(H854:H859)</f>
        <v>346800</v>
      </c>
      <c r="I853" s="2487">
        <f>SUM(I854:I859)</f>
        <v>0</v>
      </c>
      <c r="J853" s="2488">
        <f>SUM(J854:J859)</f>
        <v>0</v>
      </c>
      <c r="K853" s="2482"/>
    </row>
    <row r="854" spans="1:226" s="2485" customFormat="1" ht="15" hidden="1" customHeight="1">
      <c r="A854" s="3112"/>
      <c r="B854" s="3113"/>
      <c r="C854" s="3114"/>
      <c r="D854" s="3134"/>
      <c r="E854" s="2489" t="s">
        <v>582</v>
      </c>
      <c r="F854" s="2490">
        <f t="shared" ref="F854:F859" si="86">SUM(G854:J854)</f>
        <v>0</v>
      </c>
      <c r="G854" s="2490"/>
      <c r="H854" s="2490"/>
      <c r="I854" s="2490"/>
      <c r="J854" s="2491"/>
      <c r="K854" s="2482"/>
    </row>
    <row r="855" spans="1:226" s="2485" customFormat="1" ht="15" customHeight="1">
      <c r="A855" s="3112"/>
      <c r="B855" s="3113"/>
      <c r="C855" s="3114"/>
      <c r="D855" s="3134"/>
      <c r="E855" s="2489" t="s">
        <v>676</v>
      </c>
      <c r="F855" s="2490">
        <f t="shared" si="86"/>
        <v>346800</v>
      </c>
      <c r="G855" s="2490"/>
      <c r="H855" s="2490">
        <v>346800</v>
      </c>
      <c r="I855" s="2490"/>
      <c r="J855" s="2491"/>
      <c r="K855" s="2482"/>
    </row>
    <row r="856" spans="1:226" s="2485" customFormat="1" ht="15" customHeight="1">
      <c r="A856" s="3112"/>
      <c r="B856" s="3113"/>
      <c r="C856" s="3114"/>
      <c r="D856" s="3134"/>
      <c r="E856" s="2489" t="s">
        <v>677</v>
      </c>
      <c r="F856" s="2490">
        <f t="shared" si="86"/>
        <v>61200</v>
      </c>
      <c r="G856" s="2490">
        <v>61200</v>
      </c>
      <c r="H856" s="2490"/>
      <c r="I856" s="2490"/>
      <c r="J856" s="2491"/>
      <c r="K856" s="2482"/>
    </row>
    <row r="857" spans="1:226" s="2485" customFormat="1" ht="15" hidden="1" customHeight="1">
      <c r="A857" s="3112"/>
      <c r="B857" s="3113"/>
      <c r="C857" s="3114"/>
      <c r="D857" s="3134"/>
      <c r="E857" s="2489" t="s">
        <v>576</v>
      </c>
      <c r="F857" s="2490">
        <f t="shared" si="86"/>
        <v>0</v>
      </c>
      <c r="G857" s="2490"/>
      <c r="H857" s="2490"/>
      <c r="I857" s="2490"/>
      <c r="J857" s="2491"/>
      <c r="K857" s="2482"/>
    </row>
    <row r="858" spans="1:226" s="2485" customFormat="1" ht="15" hidden="1" customHeight="1">
      <c r="A858" s="3112"/>
      <c r="B858" s="3113"/>
      <c r="C858" s="3114"/>
      <c r="D858" s="3134"/>
      <c r="E858" s="2489" t="s">
        <v>655</v>
      </c>
      <c r="F858" s="2490">
        <f t="shared" si="86"/>
        <v>0</v>
      </c>
      <c r="G858" s="2490"/>
      <c r="H858" s="2490"/>
      <c r="I858" s="2490"/>
      <c r="J858" s="2491"/>
      <c r="K858" s="2482"/>
    </row>
    <row r="859" spans="1:226" s="2485" customFormat="1" ht="15" hidden="1" customHeight="1">
      <c r="A859" s="3112"/>
      <c r="B859" s="3113"/>
      <c r="C859" s="3114"/>
      <c r="D859" s="3134"/>
      <c r="E859" s="2503">
        <v>6069</v>
      </c>
      <c r="F859" s="2490">
        <f t="shared" si="86"/>
        <v>0</v>
      </c>
      <c r="G859" s="2490"/>
      <c r="H859" s="2490"/>
      <c r="I859" s="2490"/>
      <c r="J859" s="2491"/>
      <c r="K859" s="2482"/>
    </row>
    <row r="860" spans="1:226" s="2485" customFormat="1" ht="22.5">
      <c r="A860" s="3112" t="s">
        <v>1107</v>
      </c>
      <c r="B860" s="3113" t="s">
        <v>1169</v>
      </c>
      <c r="C860" s="3114">
        <v>600</v>
      </c>
      <c r="D860" s="3134" t="s">
        <v>682</v>
      </c>
      <c r="E860" s="2479" t="s">
        <v>1086</v>
      </c>
      <c r="F860" s="2480">
        <f>SUM(F861,F868)</f>
        <v>7188000</v>
      </c>
      <c r="G860" s="2480">
        <f>SUM(G861,G868)</f>
        <v>1078200</v>
      </c>
      <c r="H860" s="2480">
        <f>SUM(H861,H868)</f>
        <v>6109800</v>
      </c>
      <c r="I860" s="2480">
        <f>SUM(I861,I868)</f>
        <v>0</v>
      </c>
      <c r="J860" s="2481">
        <f>SUM(J861,J868)</f>
        <v>0</v>
      </c>
      <c r="K860" s="2482"/>
    </row>
    <row r="861" spans="1:226" s="2485" customFormat="1" ht="15" customHeight="1">
      <c r="A861" s="3112"/>
      <c r="B861" s="3113"/>
      <c r="C861" s="3114"/>
      <c r="D861" s="3134"/>
      <c r="E861" s="2486" t="s">
        <v>739</v>
      </c>
      <c r="F861" s="2487">
        <f>SUM(F862,F865)</f>
        <v>0</v>
      </c>
      <c r="G861" s="2487">
        <f>SUM(G862,G865)</f>
        <v>0</v>
      </c>
      <c r="H861" s="2487">
        <f>SUM(H862,H865)</f>
        <v>0</v>
      </c>
      <c r="I861" s="2487">
        <f>SUM(I862,I865)</f>
        <v>0</v>
      </c>
      <c r="J861" s="2488">
        <f>SUM(J862,J865)</f>
        <v>0</v>
      </c>
      <c r="K861" s="2482"/>
    </row>
    <row r="862" spans="1:226" s="2485" customFormat="1" ht="15" hidden="1" customHeight="1">
      <c r="A862" s="3112"/>
      <c r="B862" s="3113"/>
      <c r="C862" s="3114"/>
      <c r="D862" s="3134"/>
      <c r="E862" s="2497" t="s">
        <v>1093</v>
      </c>
      <c r="F862" s="2498">
        <f>SUM(F863:F864)</f>
        <v>0</v>
      </c>
      <c r="G862" s="2498">
        <f>SUM(G863:G864)</f>
        <v>0</v>
      </c>
      <c r="H862" s="2498">
        <f>SUM(H863:H864)</f>
        <v>0</v>
      </c>
      <c r="I862" s="2498">
        <f>SUM(I863:I864)</f>
        <v>0</v>
      </c>
      <c r="J862" s="2499">
        <f>SUM(J863:J864)</f>
        <v>0</v>
      </c>
      <c r="K862" s="2482"/>
    </row>
    <row r="863" spans="1:226" s="2485" customFormat="1" ht="15" hidden="1" customHeight="1">
      <c r="A863" s="3112"/>
      <c r="B863" s="3113"/>
      <c r="C863" s="3114"/>
      <c r="D863" s="3134"/>
      <c r="E863" s="2489"/>
      <c r="F863" s="2490">
        <f>SUM(G863:J863)</f>
        <v>0</v>
      </c>
      <c r="G863" s="2490"/>
      <c r="H863" s="2490"/>
      <c r="I863" s="2490"/>
      <c r="J863" s="2491"/>
      <c r="K863" s="2482"/>
    </row>
    <row r="864" spans="1:226" s="2485" customFormat="1" ht="15" hidden="1" customHeight="1">
      <c r="A864" s="3112"/>
      <c r="B864" s="3113"/>
      <c r="C864" s="3114"/>
      <c r="D864" s="3134"/>
      <c r="E864" s="2489"/>
      <c r="F864" s="2490">
        <f>SUM(G864:J864)</f>
        <v>0</v>
      </c>
      <c r="G864" s="2490"/>
      <c r="H864" s="2490"/>
      <c r="I864" s="2490"/>
      <c r="J864" s="2491"/>
      <c r="K864" s="2482"/>
      <c r="L864" s="2484"/>
      <c r="M864" s="2484"/>
      <c r="N864" s="2484"/>
      <c r="O864" s="2484"/>
      <c r="P864" s="2484"/>
      <c r="Q864" s="2484"/>
      <c r="R864" s="2484"/>
      <c r="S864" s="2484"/>
      <c r="T864" s="2484"/>
      <c r="U864" s="2484"/>
      <c r="V864" s="2484"/>
      <c r="W864" s="2484"/>
      <c r="X864" s="2484"/>
      <c r="Y864" s="2484"/>
      <c r="Z864" s="2484"/>
      <c r="AA864" s="2484"/>
      <c r="AB864" s="2484"/>
      <c r="AC864" s="2484"/>
      <c r="AD864" s="2484"/>
      <c r="AE864" s="2484"/>
      <c r="AF864" s="2484"/>
      <c r="AG864" s="2484"/>
      <c r="AH864" s="2484"/>
      <c r="AI864" s="2484"/>
      <c r="AJ864" s="2484"/>
      <c r="AK864" s="2484"/>
      <c r="AL864" s="2484"/>
      <c r="AM864" s="2484"/>
      <c r="AN864" s="2484"/>
      <c r="AO864" s="2484"/>
      <c r="AP864" s="2484"/>
      <c r="AQ864" s="2484"/>
      <c r="AR864" s="2484"/>
      <c r="AS864" s="2484"/>
      <c r="AT864" s="2484"/>
      <c r="AU864" s="2484"/>
      <c r="AV864" s="2484"/>
      <c r="AW864" s="2484"/>
      <c r="AX864" s="2484"/>
      <c r="AY864" s="2484"/>
      <c r="AZ864" s="2484"/>
      <c r="BA864" s="2484"/>
      <c r="BB864" s="2484"/>
      <c r="BC864" s="2484"/>
      <c r="BD864" s="2484"/>
      <c r="BE864" s="2484"/>
      <c r="BF864" s="2484"/>
      <c r="BG864" s="2484"/>
      <c r="BH864" s="2484"/>
      <c r="BI864" s="2484"/>
      <c r="BJ864" s="2484"/>
      <c r="BK864" s="2484"/>
      <c r="BL864" s="2484"/>
      <c r="BM864" s="2484"/>
      <c r="BN864" s="2484"/>
      <c r="BO864" s="2484"/>
      <c r="BP864" s="2484"/>
      <c r="BQ864" s="2484"/>
      <c r="BR864" s="2484"/>
      <c r="BS864" s="2484"/>
      <c r="BT864" s="2484"/>
      <c r="BU864" s="2484"/>
      <c r="BV864" s="2484"/>
      <c r="BW864" s="2484"/>
      <c r="BX864" s="2484"/>
      <c r="BY864" s="2484"/>
      <c r="BZ864" s="2484"/>
      <c r="CA864" s="2484"/>
      <c r="CB864" s="2484"/>
      <c r="CC864" s="2484"/>
      <c r="CD864" s="2484"/>
      <c r="CE864" s="2484"/>
      <c r="CF864" s="2484"/>
      <c r="CG864" s="2484"/>
      <c r="CH864" s="2484"/>
      <c r="CI864" s="2484"/>
      <c r="CJ864" s="2484"/>
      <c r="CK864" s="2484"/>
      <c r="CL864" s="2484"/>
      <c r="CM864" s="2484"/>
      <c r="CN864" s="2484"/>
      <c r="CO864" s="2484"/>
      <c r="CP864" s="2484"/>
      <c r="CQ864" s="2484"/>
      <c r="CR864" s="2484"/>
      <c r="CS864" s="2484"/>
      <c r="CT864" s="2484"/>
      <c r="CU864" s="2484"/>
      <c r="CV864" s="2484"/>
      <c r="CW864" s="2484"/>
      <c r="CX864" s="2484"/>
      <c r="CY864" s="2484"/>
      <c r="CZ864" s="2484"/>
      <c r="DA864" s="2484"/>
      <c r="DB864" s="2484"/>
      <c r="DC864" s="2484"/>
      <c r="DD864" s="2484"/>
      <c r="DE864" s="2484"/>
      <c r="DF864" s="2484"/>
      <c r="DG864" s="2484"/>
      <c r="DH864" s="2484"/>
      <c r="DI864" s="2484"/>
      <c r="DJ864" s="2484"/>
      <c r="DK864" s="2484"/>
      <c r="DL864" s="2484"/>
      <c r="DM864" s="2484"/>
      <c r="DN864" s="2484"/>
      <c r="DO864" s="2484"/>
      <c r="DP864" s="2484"/>
      <c r="DQ864" s="2484"/>
      <c r="DR864" s="2484"/>
      <c r="DS864" s="2484"/>
      <c r="DT864" s="2484"/>
      <c r="DU864" s="2484"/>
      <c r="DV864" s="2484"/>
      <c r="DW864" s="2484"/>
      <c r="DX864" s="2484"/>
      <c r="DY864" s="2484"/>
      <c r="DZ864" s="2484"/>
      <c r="EA864" s="2484"/>
      <c r="EB864" s="2484"/>
      <c r="EC864" s="2484"/>
      <c r="ED864" s="2484"/>
      <c r="EE864" s="2484"/>
      <c r="EF864" s="2484"/>
      <c r="EG864" s="2484"/>
      <c r="EH864" s="2484"/>
      <c r="EI864" s="2484"/>
      <c r="EJ864" s="2484"/>
      <c r="EK864" s="2484"/>
      <c r="EL864" s="2484"/>
      <c r="EM864" s="2484"/>
      <c r="EN864" s="2484"/>
      <c r="EO864" s="2484"/>
      <c r="EP864" s="2484"/>
      <c r="EQ864" s="2484"/>
      <c r="ER864" s="2484"/>
      <c r="ES864" s="2484"/>
      <c r="ET864" s="2484"/>
      <c r="EU864" s="2484"/>
      <c r="EV864" s="2484"/>
      <c r="EW864" s="2484"/>
      <c r="EX864" s="2484"/>
      <c r="EY864" s="2484"/>
      <c r="EZ864" s="2484"/>
      <c r="FA864" s="2484"/>
      <c r="FB864" s="2484"/>
      <c r="FC864" s="2484"/>
      <c r="FD864" s="2484"/>
      <c r="FE864" s="2484"/>
      <c r="FF864" s="2484"/>
      <c r="FG864" s="2484"/>
      <c r="FH864" s="2484"/>
      <c r="FI864" s="2484"/>
      <c r="FJ864" s="2484"/>
      <c r="FK864" s="2484"/>
      <c r="FL864" s="2484"/>
      <c r="FM864" s="2484"/>
      <c r="FN864" s="2484"/>
      <c r="FO864" s="2484"/>
      <c r="FP864" s="2484"/>
      <c r="FQ864" s="2484"/>
      <c r="FR864" s="2484"/>
      <c r="FS864" s="2484"/>
      <c r="FT864" s="2484"/>
      <c r="FU864" s="2484"/>
      <c r="FV864" s="2484"/>
      <c r="FW864" s="2484"/>
      <c r="FX864" s="2484"/>
      <c r="FY864" s="2484"/>
      <c r="FZ864" s="2484"/>
      <c r="GA864" s="2484"/>
      <c r="GB864" s="2484"/>
      <c r="GC864" s="2484"/>
      <c r="GD864" s="2484"/>
      <c r="GE864" s="2484"/>
      <c r="GF864" s="2484"/>
      <c r="GG864" s="2484"/>
      <c r="GH864" s="2484"/>
      <c r="GI864" s="2484"/>
      <c r="GJ864" s="2484"/>
      <c r="GK864" s="2484"/>
      <c r="GL864" s="2484"/>
      <c r="GM864" s="2484"/>
      <c r="GN864" s="2484"/>
      <c r="GO864" s="2484"/>
      <c r="GP864" s="2484"/>
      <c r="GQ864" s="2484"/>
      <c r="GR864" s="2484"/>
      <c r="GS864" s="2484"/>
      <c r="GT864" s="2484"/>
      <c r="GU864" s="2484"/>
      <c r="GV864" s="2484"/>
      <c r="GW864" s="2484"/>
      <c r="GX864" s="2484"/>
      <c r="GY864" s="2484"/>
      <c r="GZ864" s="2484"/>
      <c r="HA864" s="2484"/>
      <c r="HB864" s="2484"/>
      <c r="HC864" s="2484"/>
      <c r="HD864" s="2484"/>
      <c r="HE864" s="2484"/>
      <c r="HF864" s="2484"/>
      <c r="HG864" s="2484"/>
      <c r="HH864" s="2484"/>
      <c r="HI864" s="2484"/>
      <c r="HJ864" s="2484"/>
      <c r="HK864" s="2484"/>
      <c r="HL864" s="2484"/>
      <c r="HM864" s="2484"/>
      <c r="HN864" s="2484"/>
      <c r="HO864" s="2484"/>
      <c r="HP864" s="2484"/>
      <c r="HQ864" s="2484"/>
      <c r="HR864" s="2484"/>
    </row>
    <row r="865" spans="1:226" s="2485" customFormat="1" ht="15" hidden="1" customHeight="1">
      <c r="A865" s="3112"/>
      <c r="B865" s="3113"/>
      <c r="C865" s="3114"/>
      <c r="D865" s="3134"/>
      <c r="E865" s="2497" t="s">
        <v>1094</v>
      </c>
      <c r="F865" s="2498">
        <f>SUM(F866:F867)</f>
        <v>0</v>
      </c>
      <c r="G865" s="2498">
        <f>SUM(G866:G867)</f>
        <v>0</v>
      </c>
      <c r="H865" s="2498">
        <f>SUM(H866:H867)</f>
        <v>0</v>
      </c>
      <c r="I865" s="2498">
        <f>SUM(I866:I867)</f>
        <v>0</v>
      </c>
      <c r="J865" s="2499">
        <f>SUM(J866:J867)</f>
        <v>0</v>
      </c>
      <c r="K865" s="2482"/>
    </row>
    <row r="866" spans="1:226" s="2485" customFormat="1" ht="15" hidden="1" customHeight="1">
      <c r="A866" s="3112"/>
      <c r="B866" s="3113"/>
      <c r="C866" s="3114"/>
      <c r="D866" s="3134"/>
      <c r="E866" s="2489"/>
      <c r="F866" s="2490">
        <f>SUM(G866:J866)</f>
        <v>0</v>
      </c>
      <c r="G866" s="2490"/>
      <c r="H866" s="2490"/>
      <c r="I866" s="2490"/>
      <c r="J866" s="2491"/>
      <c r="K866" s="2482"/>
    </row>
    <row r="867" spans="1:226" s="2485" customFormat="1" ht="15" hidden="1" customHeight="1">
      <c r="A867" s="3112"/>
      <c r="B867" s="3113"/>
      <c r="C867" s="3114"/>
      <c r="D867" s="3134"/>
      <c r="E867" s="2489"/>
      <c r="F867" s="2490">
        <f>SUM(G867:J867)</f>
        <v>0</v>
      </c>
      <c r="G867" s="2490"/>
      <c r="H867" s="2490"/>
      <c r="I867" s="2490"/>
      <c r="J867" s="2491"/>
      <c r="K867" s="2482"/>
    </row>
    <row r="868" spans="1:226" s="2485" customFormat="1" ht="15" customHeight="1">
      <c r="A868" s="3112"/>
      <c r="B868" s="3113"/>
      <c r="C868" s="3114"/>
      <c r="D868" s="3134"/>
      <c r="E868" s="2492" t="s">
        <v>1087</v>
      </c>
      <c r="F868" s="2487">
        <f>SUM(F869:F874)</f>
        <v>7188000</v>
      </c>
      <c r="G868" s="2487">
        <f>SUM(G869:G874)</f>
        <v>1078200</v>
      </c>
      <c r="H868" s="2487">
        <f>SUM(H869:H874)</f>
        <v>6109800</v>
      </c>
      <c r="I868" s="2487">
        <f>SUM(I869:I874)</f>
        <v>0</v>
      </c>
      <c r="J868" s="2488">
        <f>SUM(J869:J874)</f>
        <v>0</v>
      </c>
      <c r="K868" s="2482"/>
    </row>
    <row r="869" spans="1:226" s="2485" customFormat="1" ht="15" hidden="1" customHeight="1">
      <c r="A869" s="3112"/>
      <c r="B869" s="3113"/>
      <c r="C869" s="3114"/>
      <c r="D869" s="3134"/>
      <c r="E869" s="2489" t="s">
        <v>582</v>
      </c>
      <c r="F869" s="2490">
        <f t="shared" ref="F869:F874" si="87">SUM(G869:J869)</f>
        <v>0</v>
      </c>
      <c r="G869" s="2490"/>
      <c r="H869" s="2490"/>
      <c r="I869" s="2490"/>
      <c r="J869" s="2491"/>
      <c r="K869" s="2482"/>
    </row>
    <row r="870" spans="1:226" s="2485" customFormat="1" ht="15" customHeight="1">
      <c r="A870" s="3112"/>
      <c r="B870" s="3113"/>
      <c r="C870" s="3114"/>
      <c r="D870" s="3134"/>
      <c r="E870" s="2489" t="s">
        <v>676</v>
      </c>
      <c r="F870" s="2490">
        <f t="shared" si="87"/>
        <v>4834800</v>
      </c>
      <c r="G870" s="2490"/>
      <c r="H870" s="2490">
        <v>4834800</v>
      </c>
      <c r="I870" s="2490"/>
      <c r="J870" s="2491"/>
      <c r="K870" s="2482"/>
    </row>
    <row r="871" spans="1:226" s="2485" customFormat="1" ht="15" customHeight="1">
      <c r="A871" s="3112"/>
      <c r="B871" s="3113"/>
      <c r="C871" s="3114"/>
      <c r="D871" s="3134"/>
      <c r="E871" s="2489" t="s">
        <v>677</v>
      </c>
      <c r="F871" s="2490">
        <f t="shared" si="87"/>
        <v>853200</v>
      </c>
      <c r="G871" s="2490">
        <v>853200</v>
      </c>
      <c r="H871" s="2490"/>
      <c r="I871" s="2490"/>
      <c r="J871" s="2491"/>
      <c r="K871" s="2482"/>
    </row>
    <row r="872" spans="1:226" s="2485" customFormat="1" ht="15" hidden="1" customHeight="1">
      <c r="A872" s="3112"/>
      <c r="B872" s="3113"/>
      <c r="C872" s="3114"/>
      <c r="D872" s="3134"/>
      <c r="E872" s="2489" t="s">
        <v>576</v>
      </c>
      <c r="F872" s="2490">
        <f t="shared" si="87"/>
        <v>0</v>
      </c>
      <c r="G872" s="2490"/>
      <c r="H872" s="2490"/>
      <c r="I872" s="2490"/>
      <c r="J872" s="2491"/>
      <c r="K872" s="2482"/>
    </row>
    <row r="873" spans="1:226" s="2485" customFormat="1" ht="15" customHeight="1">
      <c r="A873" s="3112"/>
      <c r="B873" s="3113"/>
      <c r="C873" s="3114"/>
      <c r="D873" s="3134"/>
      <c r="E873" s="2489" t="s">
        <v>655</v>
      </c>
      <c r="F873" s="2490">
        <f t="shared" si="87"/>
        <v>1275000</v>
      </c>
      <c r="G873" s="2490"/>
      <c r="H873" s="2490">
        <v>1275000</v>
      </c>
      <c r="I873" s="2490"/>
      <c r="J873" s="2491"/>
      <c r="K873" s="2482"/>
    </row>
    <row r="874" spans="1:226" s="2485" customFormat="1" ht="15" customHeight="1">
      <c r="A874" s="3112"/>
      <c r="B874" s="3113"/>
      <c r="C874" s="3114"/>
      <c r="D874" s="3134"/>
      <c r="E874" s="2503">
        <v>6069</v>
      </c>
      <c r="F874" s="2490">
        <f t="shared" si="87"/>
        <v>225000</v>
      </c>
      <c r="G874" s="2490">
        <v>225000</v>
      </c>
      <c r="H874" s="2490"/>
      <c r="I874" s="2490"/>
      <c r="J874" s="2491"/>
      <c r="K874" s="2482"/>
    </row>
    <row r="875" spans="1:226" s="2485" customFormat="1" ht="22.5">
      <c r="A875" s="3112" t="s">
        <v>1111</v>
      </c>
      <c r="B875" s="3113" t="s">
        <v>1170</v>
      </c>
      <c r="C875" s="3114">
        <v>600</v>
      </c>
      <c r="D875" s="3134" t="s">
        <v>682</v>
      </c>
      <c r="E875" s="2479" t="s">
        <v>1086</v>
      </c>
      <c r="F875" s="2480">
        <f>SUM(F876,F883)</f>
        <v>16841282</v>
      </c>
      <c r="G875" s="2480">
        <f>SUM(G876,G883)</f>
        <v>3079987</v>
      </c>
      <c r="H875" s="2480">
        <f>SUM(H876,H883)</f>
        <v>13761295</v>
      </c>
      <c r="I875" s="2480">
        <f>SUM(I876,I883)</f>
        <v>0</v>
      </c>
      <c r="J875" s="2481">
        <f>SUM(J876,J883)</f>
        <v>0</v>
      </c>
      <c r="K875" s="2482"/>
    </row>
    <row r="876" spans="1:226" s="2485" customFormat="1" ht="15" customHeight="1">
      <c r="A876" s="3112"/>
      <c r="B876" s="3113"/>
      <c r="C876" s="3114"/>
      <c r="D876" s="3134"/>
      <c r="E876" s="2486" t="s">
        <v>739</v>
      </c>
      <c r="F876" s="2487">
        <f>SUM(F877,F880)</f>
        <v>0</v>
      </c>
      <c r="G876" s="2487">
        <f>SUM(G877,G880)</f>
        <v>0</v>
      </c>
      <c r="H876" s="2487">
        <f>SUM(H877,H880)</f>
        <v>0</v>
      </c>
      <c r="I876" s="2487">
        <f>SUM(I877,I880)</f>
        <v>0</v>
      </c>
      <c r="J876" s="2488">
        <f>SUM(J877,J880)</f>
        <v>0</v>
      </c>
      <c r="K876" s="2482"/>
    </row>
    <row r="877" spans="1:226" s="2485" customFormat="1" ht="15" hidden="1" customHeight="1">
      <c r="A877" s="3112"/>
      <c r="B877" s="3113"/>
      <c r="C877" s="3114"/>
      <c r="D877" s="3134"/>
      <c r="E877" s="2497" t="s">
        <v>1093</v>
      </c>
      <c r="F877" s="2498">
        <f>SUM(F878:F879)</f>
        <v>0</v>
      </c>
      <c r="G877" s="2498">
        <f>SUM(G878:G879)</f>
        <v>0</v>
      </c>
      <c r="H877" s="2498">
        <f>SUM(H878:H879)</f>
        <v>0</v>
      </c>
      <c r="I877" s="2498">
        <f>SUM(I878:I879)</f>
        <v>0</v>
      </c>
      <c r="J877" s="2499">
        <f>SUM(J878:J879)</f>
        <v>0</v>
      </c>
      <c r="K877" s="2482"/>
    </row>
    <row r="878" spans="1:226" s="2485" customFormat="1" ht="15" hidden="1" customHeight="1">
      <c r="A878" s="3112"/>
      <c r="B878" s="3113"/>
      <c r="C878" s="3114"/>
      <c r="D878" s="3134"/>
      <c r="E878" s="2489"/>
      <c r="F878" s="2490">
        <f>SUM(G878:J878)</f>
        <v>0</v>
      </c>
      <c r="G878" s="2490"/>
      <c r="H878" s="2490"/>
      <c r="I878" s="2490"/>
      <c r="J878" s="2491"/>
      <c r="K878" s="2482"/>
    </row>
    <row r="879" spans="1:226" s="2485" customFormat="1" ht="15" hidden="1" customHeight="1">
      <c r="A879" s="3112"/>
      <c r="B879" s="3113"/>
      <c r="C879" s="3114"/>
      <c r="D879" s="3134"/>
      <c r="E879" s="2489"/>
      <c r="F879" s="2490">
        <f>SUM(G879:J879)</f>
        <v>0</v>
      </c>
      <c r="G879" s="2490"/>
      <c r="H879" s="2490"/>
      <c r="I879" s="2490"/>
      <c r="J879" s="2491"/>
      <c r="K879" s="2482"/>
      <c r="L879" s="2484"/>
      <c r="M879" s="2484"/>
      <c r="N879" s="2484"/>
      <c r="O879" s="2484"/>
      <c r="P879" s="2484"/>
      <c r="Q879" s="2484"/>
      <c r="R879" s="2484"/>
      <c r="S879" s="2484"/>
      <c r="T879" s="2484"/>
      <c r="U879" s="2484"/>
      <c r="V879" s="2484"/>
      <c r="W879" s="2484"/>
      <c r="X879" s="2484"/>
      <c r="Y879" s="2484"/>
      <c r="Z879" s="2484"/>
      <c r="AA879" s="2484"/>
      <c r="AB879" s="2484"/>
      <c r="AC879" s="2484"/>
      <c r="AD879" s="2484"/>
      <c r="AE879" s="2484"/>
      <c r="AF879" s="2484"/>
      <c r="AG879" s="2484"/>
      <c r="AH879" s="2484"/>
      <c r="AI879" s="2484"/>
      <c r="AJ879" s="2484"/>
      <c r="AK879" s="2484"/>
      <c r="AL879" s="2484"/>
      <c r="AM879" s="2484"/>
      <c r="AN879" s="2484"/>
      <c r="AO879" s="2484"/>
      <c r="AP879" s="2484"/>
      <c r="AQ879" s="2484"/>
      <c r="AR879" s="2484"/>
      <c r="AS879" s="2484"/>
      <c r="AT879" s="2484"/>
      <c r="AU879" s="2484"/>
      <c r="AV879" s="2484"/>
      <c r="AW879" s="2484"/>
      <c r="AX879" s="2484"/>
      <c r="AY879" s="2484"/>
      <c r="AZ879" s="2484"/>
      <c r="BA879" s="2484"/>
      <c r="BB879" s="2484"/>
      <c r="BC879" s="2484"/>
      <c r="BD879" s="2484"/>
      <c r="BE879" s="2484"/>
      <c r="BF879" s="2484"/>
      <c r="BG879" s="2484"/>
      <c r="BH879" s="2484"/>
      <c r="BI879" s="2484"/>
      <c r="BJ879" s="2484"/>
      <c r="BK879" s="2484"/>
      <c r="BL879" s="2484"/>
      <c r="BM879" s="2484"/>
      <c r="BN879" s="2484"/>
      <c r="BO879" s="2484"/>
      <c r="BP879" s="2484"/>
      <c r="BQ879" s="2484"/>
      <c r="BR879" s="2484"/>
      <c r="BS879" s="2484"/>
      <c r="BT879" s="2484"/>
      <c r="BU879" s="2484"/>
      <c r="BV879" s="2484"/>
      <c r="BW879" s="2484"/>
      <c r="BX879" s="2484"/>
      <c r="BY879" s="2484"/>
      <c r="BZ879" s="2484"/>
      <c r="CA879" s="2484"/>
      <c r="CB879" s="2484"/>
      <c r="CC879" s="2484"/>
      <c r="CD879" s="2484"/>
      <c r="CE879" s="2484"/>
      <c r="CF879" s="2484"/>
      <c r="CG879" s="2484"/>
      <c r="CH879" s="2484"/>
      <c r="CI879" s="2484"/>
      <c r="CJ879" s="2484"/>
      <c r="CK879" s="2484"/>
      <c r="CL879" s="2484"/>
      <c r="CM879" s="2484"/>
      <c r="CN879" s="2484"/>
      <c r="CO879" s="2484"/>
      <c r="CP879" s="2484"/>
      <c r="CQ879" s="2484"/>
      <c r="CR879" s="2484"/>
      <c r="CS879" s="2484"/>
      <c r="CT879" s="2484"/>
      <c r="CU879" s="2484"/>
      <c r="CV879" s="2484"/>
      <c r="CW879" s="2484"/>
      <c r="CX879" s="2484"/>
      <c r="CY879" s="2484"/>
      <c r="CZ879" s="2484"/>
      <c r="DA879" s="2484"/>
      <c r="DB879" s="2484"/>
      <c r="DC879" s="2484"/>
      <c r="DD879" s="2484"/>
      <c r="DE879" s="2484"/>
      <c r="DF879" s="2484"/>
      <c r="DG879" s="2484"/>
      <c r="DH879" s="2484"/>
      <c r="DI879" s="2484"/>
      <c r="DJ879" s="2484"/>
      <c r="DK879" s="2484"/>
      <c r="DL879" s="2484"/>
      <c r="DM879" s="2484"/>
      <c r="DN879" s="2484"/>
      <c r="DO879" s="2484"/>
      <c r="DP879" s="2484"/>
      <c r="DQ879" s="2484"/>
      <c r="DR879" s="2484"/>
      <c r="DS879" s="2484"/>
      <c r="DT879" s="2484"/>
      <c r="DU879" s="2484"/>
      <c r="DV879" s="2484"/>
      <c r="DW879" s="2484"/>
      <c r="DX879" s="2484"/>
      <c r="DY879" s="2484"/>
      <c r="DZ879" s="2484"/>
      <c r="EA879" s="2484"/>
      <c r="EB879" s="2484"/>
      <c r="EC879" s="2484"/>
      <c r="ED879" s="2484"/>
      <c r="EE879" s="2484"/>
      <c r="EF879" s="2484"/>
      <c r="EG879" s="2484"/>
      <c r="EH879" s="2484"/>
      <c r="EI879" s="2484"/>
      <c r="EJ879" s="2484"/>
      <c r="EK879" s="2484"/>
      <c r="EL879" s="2484"/>
      <c r="EM879" s="2484"/>
      <c r="EN879" s="2484"/>
      <c r="EO879" s="2484"/>
      <c r="EP879" s="2484"/>
      <c r="EQ879" s="2484"/>
      <c r="ER879" s="2484"/>
      <c r="ES879" s="2484"/>
      <c r="ET879" s="2484"/>
      <c r="EU879" s="2484"/>
      <c r="EV879" s="2484"/>
      <c r="EW879" s="2484"/>
      <c r="EX879" s="2484"/>
      <c r="EY879" s="2484"/>
      <c r="EZ879" s="2484"/>
      <c r="FA879" s="2484"/>
      <c r="FB879" s="2484"/>
      <c r="FC879" s="2484"/>
      <c r="FD879" s="2484"/>
      <c r="FE879" s="2484"/>
      <c r="FF879" s="2484"/>
      <c r="FG879" s="2484"/>
      <c r="FH879" s="2484"/>
      <c r="FI879" s="2484"/>
      <c r="FJ879" s="2484"/>
      <c r="FK879" s="2484"/>
      <c r="FL879" s="2484"/>
      <c r="FM879" s="2484"/>
      <c r="FN879" s="2484"/>
      <c r="FO879" s="2484"/>
      <c r="FP879" s="2484"/>
      <c r="FQ879" s="2484"/>
      <c r="FR879" s="2484"/>
      <c r="FS879" s="2484"/>
      <c r="FT879" s="2484"/>
      <c r="FU879" s="2484"/>
      <c r="FV879" s="2484"/>
      <c r="FW879" s="2484"/>
      <c r="FX879" s="2484"/>
      <c r="FY879" s="2484"/>
      <c r="FZ879" s="2484"/>
      <c r="GA879" s="2484"/>
      <c r="GB879" s="2484"/>
      <c r="GC879" s="2484"/>
      <c r="GD879" s="2484"/>
      <c r="GE879" s="2484"/>
      <c r="GF879" s="2484"/>
      <c r="GG879" s="2484"/>
      <c r="GH879" s="2484"/>
      <c r="GI879" s="2484"/>
      <c r="GJ879" s="2484"/>
      <c r="GK879" s="2484"/>
      <c r="GL879" s="2484"/>
      <c r="GM879" s="2484"/>
      <c r="GN879" s="2484"/>
      <c r="GO879" s="2484"/>
      <c r="GP879" s="2484"/>
      <c r="GQ879" s="2484"/>
      <c r="GR879" s="2484"/>
      <c r="GS879" s="2484"/>
      <c r="GT879" s="2484"/>
      <c r="GU879" s="2484"/>
      <c r="GV879" s="2484"/>
      <c r="GW879" s="2484"/>
      <c r="GX879" s="2484"/>
      <c r="GY879" s="2484"/>
      <c r="GZ879" s="2484"/>
      <c r="HA879" s="2484"/>
      <c r="HB879" s="2484"/>
      <c r="HC879" s="2484"/>
      <c r="HD879" s="2484"/>
      <c r="HE879" s="2484"/>
      <c r="HF879" s="2484"/>
      <c r="HG879" s="2484"/>
      <c r="HH879" s="2484"/>
      <c r="HI879" s="2484"/>
      <c r="HJ879" s="2484"/>
      <c r="HK879" s="2484"/>
      <c r="HL879" s="2484"/>
      <c r="HM879" s="2484"/>
      <c r="HN879" s="2484"/>
      <c r="HO879" s="2484"/>
      <c r="HP879" s="2484"/>
      <c r="HQ879" s="2484"/>
      <c r="HR879" s="2484"/>
    </row>
    <row r="880" spans="1:226" s="2485" customFormat="1" ht="15" hidden="1" customHeight="1">
      <c r="A880" s="3112"/>
      <c r="B880" s="3113"/>
      <c r="C880" s="3114"/>
      <c r="D880" s="3134"/>
      <c r="E880" s="2497" t="s">
        <v>1094</v>
      </c>
      <c r="F880" s="2498">
        <f>SUM(F881:F882)</f>
        <v>0</v>
      </c>
      <c r="G880" s="2498">
        <f>SUM(G881:G882)</f>
        <v>0</v>
      </c>
      <c r="H880" s="2498">
        <f>SUM(H881:H882)</f>
        <v>0</v>
      </c>
      <c r="I880" s="2498">
        <f>SUM(I881:I882)</f>
        <v>0</v>
      </c>
      <c r="J880" s="2499">
        <f>SUM(J881:J882)</f>
        <v>0</v>
      </c>
      <c r="K880" s="2482"/>
    </row>
    <row r="881" spans="1:226" s="2485" customFormat="1" ht="15" hidden="1" customHeight="1">
      <c r="A881" s="3112"/>
      <c r="B881" s="3113"/>
      <c r="C881" s="3114"/>
      <c r="D881" s="3134"/>
      <c r="E881" s="2489"/>
      <c r="F881" s="2490">
        <f>SUM(G881:J881)</f>
        <v>0</v>
      </c>
      <c r="G881" s="2490"/>
      <c r="H881" s="2490"/>
      <c r="I881" s="2490"/>
      <c r="J881" s="2491"/>
      <c r="K881" s="2482"/>
    </row>
    <row r="882" spans="1:226" s="2485" customFormat="1" ht="15" hidden="1" customHeight="1">
      <c r="A882" s="3112"/>
      <c r="B882" s="3113"/>
      <c r="C882" s="3114"/>
      <c r="D882" s="3134"/>
      <c r="E882" s="2489"/>
      <c r="F882" s="2490">
        <f>SUM(G882:J882)</f>
        <v>0</v>
      </c>
      <c r="G882" s="2490"/>
      <c r="H882" s="2490"/>
      <c r="I882" s="2490"/>
      <c r="J882" s="2491"/>
      <c r="K882" s="2482"/>
    </row>
    <row r="883" spans="1:226" s="2485" customFormat="1" ht="15" customHeight="1">
      <c r="A883" s="3112"/>
      <c r="B883" s="3113"/>
      <c r="C883" s="3114"/>
      <c r="D883" s="3134"/>
      <c r="E883" s="2492" t="s">
        <v>1087</v>
      </c>
      <c r="F883" s="2487">
        <f>SUM(F884:F889)</f>
        <v>16841282</v>
      </c>
      <c r="G883" s="2487">
        <f>SUM(G884:G889)</f>
        <v>3079987</v>
      </c>
      <c r="H883" s="2487">
        <f>SUM(H884:H889)</f>
        <v>13761295</v>
      </c>
      <c r="I883" s="2487">
        <f>SUM(I884:I889)</f>
        <v>0</v>
      </c>
      <c r="J883" s="2488">
        <f>SUM(J884:J889)</f>
        <v>0</v>
      </c>
      <c r="K883" s="2482"/>
    </row>
    <row r="884" spans="1:226" s="2485" customFormat="1" ht="15" customHeight="1">
      <c r="A884" s="3112"/>
      <c r="B884" s="3113"/>
      <c r="C884" s="3114"/>
      <c r="D884" s="3134"/>
      <c r="E884" s="2489" t="s">
        <v>582</v>
      </c>
      <c r="F884" s="2490">
        <f t="shared" ref="F884:F889" si="88">SUM(G884:J884)</f>
        <v>651523</v>
      </c>
      <c r="G884" s="2490">
        <v>651523</v>
      </c>
      <c r="H884" s="2490"/>
      <c r="I884" s="2490"/>
      <c r="J884" s="2491"/>
      <c r="K884" s="2482"/>
    </row>
    <row r="885" spans="1:226" s="2485" customFormat="1" ht="15" customHeight="1">
      <c r="A885" s="3112"/>
      <c r="B885" s="3113"/>
      <c r="C885" s="3114"/>
      <c r="D885" s="3134"/>
      <c r="E885" s="2489" t="s">
        <v>676</v>
      </c>
      <c r="F885" s="2490">
        <f t="shared" si="88"/>
        <v>13761295</v>
      </c>
      <c r="G885" s="2490"/>
      <c r="H885" s="2490">
        <f>7751721+6009574</f>
        <v>13761295</v>
      </c>
      <c r="I885" s="2490"/>
      <c r="J885" s="2491"/>
      <c r="K885" s="2482"/>
    </row>
    <row r="886" spans="1:226" s="2485" customFormat="1" ht="15" customHeight="1">
      <c r="A886" s="3112"/>
      <c r="B886" s="3113"/>
      <c r="C886" s="3114"/>
      <c r="D886" s="3134"/>
      <c r="E886" s="2489" t="s">
        <v>677</v>
      </c>
      <c r="F886" s="2490">
        <f t="shared" si="88"/>
        <v>2428464</v>
      </c>
      <c r="G886" s="2490">
        <f>1367951+1060513</f>
        <v>2428464</v>
      </c>
      <c r="H886" s="2490"/>
      <c r="I886" s="2490"/>
      <c r="J886" s="2491"/>
      <c r="K886" s="2482"/>
    </row>
    <row r="887" spans="1:226" s="2485" customFormat="1" ht="15" hidden="1" customHeight="1">
      <c r="A887" s="3112"/>
      <c r="B887" s="3113"/>
      <c r="C887" s="3114"/>
      <c r="D887" s="3134"/>
      <c r="E887" s="2489" t="s">
        <v>576</v>
      </c>
      <c r="F887" s="2490">
        <f t="shared" si="88"/>
        <v>0</v>
      </c>
      <c r="G887" s="2490"/>
      <c r="H887" s="2490"/>
      <c r="I887" s="2490"/>
      <c r="J887" s="2491"/>
      <c r="K887" s="2482"/>
    </row>
    <row r="888" spans="1:226" s="2485" customFormat="1" ht="15" hidden="1" customHeight="1">
      <c r="A888" s="3112"/>
      <c r="B888" s="3113"/>
      <c r="C888" s="3114"/>
      <c r="D888" s="3134"/>
      <c r="E888" s="2489" t="s">
        <v>655</v>
      </c>
      <c r="F888" s="2490">
        <f t="shared" si="88"/>
        <v>0</v>
      </c>
      <c r="G888" s="2490"/>
      <c r="H888" s="2490"/>
      <c r="I888" s="2490"/>
      <c r="J888" s="2491"/>
      <c r="K888" s="2482"/>
    </row>
    <row r="889" spans="1:226" s="2485" customFormat="1" ht="15" hidden="1" customHeight="1">
      <c r="A889" s="3112"/>
      <c r="B889" s="3113"/>
      <c r="C889" s="3114"/>
      <c r="D889" s="3134"/>
      <c r="E889" s="2503">
        <v>6069</v>
      </c>
      <c r="F889" s="2490">
        <f t="shared" si="88"/>
        <v>0</v>
      </c>
      <c r="G889" s="2490"/>
      <c r="H889" s="2490"/>
      <c r="I889" s="2490"/>
      <c r="J889" s="2491"/>
      <c r="K889" s="2482"/>
    </row>
    <row r="890" spans="1:226" s="2485" customFormat="1" ht="22.5">
      <c r="A890" s="3112" t="s">
        <v>1114</v>
      </c>
      <c r="B890" s="3113" t="s">
        <v>1171</v>
      </c>
      <c r="C890" s="3114">
        <v>600</v>
      </c>
      <c r="D890" s="3134" t="s">
        <v>682</v>
      </c>
      <c r="E890" s="2479" t="s">
        <v>1086</v>
      </c>
      <c r="F890" s="2480">
        <f>SUM(F891,F898)</f>
        <v>10199889</v>
      </c>
      <c r="G890" s="2480">
        <f>SUM(G891,G898)</f>
        <v>2439484</v>
      </c>
      <c r="H890" s="2480">
        <f>SUM(H891,H898)</f>
        <v>7760405</v>
      </c>
      <c r="I890" s="2480">
        <f>SUM(I891,I898)</f>
        <v>0</v>
      </c>
      <c r="J890" s="2481">
        <f>SUM(J891,J898)</f>
        <v>0</v>
      </c>
      <c r="K890" s="2482"/>
    </row>
    <row r="891" spans="1:226" s="2485" customFormat="1" ht="15" customHeight="1">
      <c r="A891" s="3112"/>
      <c r="B891" s="3113"/>
      <c r="C891" s="3114"/>
      <c r="D891" s="3134"/>
      <c r="E891" s="2486" t="s">
        <v>739</v>
      </c>
      <c r="F891" s="2487">
        <f>SUM(F892,F895)</f>
        <v>0</v>
      </c>
      <c r="G891" s="2487">
        <f>SUM(G892,G895)</f>
        <v>0</v>
      </c>
      <c r="H891" s="2487">
        <f>SUM(H892,H895)</f>
        <v>0</v>
      </c>
      <c r="I891" s="2487">
        <f>SUM(I892,I895)</f>
        <v>0</v>
      </c>
      <c r="J891" s="2488">
        <f>SUM(J892,J895)</f>
        <v>0</v>
      </c>
      <c r="K891" s="2482"/>
    </row>
    <row r="892" spans="1:226" s="2485" customFormat="1" ht="15" hidden="1" customHeight="1">
      <c r="A892" s="3112"/>
      <c r="B892" s="3113"/>
      <c r="C892" s="3114"/>
      <c r="D892" s="3134"/>
      <c r="E892" s="2497" t="s">
        <v>1093</v>
      </c>
      <c r="F892" s="2498">
        <f>SUM(F893:F894)</f>
        <v>0</v>
      </c>
      <c r="G892" s="2498">
        <f>SUM(G893:G894)</f>
        <v>0</v>
      </c>
      <c r="H892" s="2498">
        <f>SUM(H893:H894)</f>
        <v>0</v>
      </c>
      <c r="I892" s="2498">
        <f>SUM(I893:I894)</f>
        <v>0</v>
      </c>
      <c r="J892" s="2499">
        <f>SUM(J893:J894)</f>
        <v>0</v>
      </c>
      <c r="K892" s="2482"/>
    </row>
    <row r="893" spans="1:226" s="2485" customFormat="1" ht="15" hidden="1" customHeight="1">
      <c r="A893" s="3112"/>
      <c r="B893" s="3113"/>
      <c r="C893" s="3114"/>
      <c r="D893" s="3134"/>
      <c r="E893" s="2489"/>
      <c r="F893" s="2490">
        <f>SUM(G893:J893)</f>
        <v>0</v>
      </c>
      <c r="G893" s="2490"/>
      <c r="H893" s="2490"/>
      <c r="I893" s="2490"/>
      <c r="J893" s="2491"/>
      <c r="K893" s="2482"/>
    </row>
    <row r="894" spans="1:226" s="2485" customFormat="1" ht="15" hidden="1" customHeight="1">
      <c r="A894" s="3112"/>
      <c r="B894" s="3113"/>
      <c r="C894" s="3114"/>
      <c r="D894" s="3134"/>
      <c r="E894" s="2489"/>
      <c r="F894" s="2490">
        <f>SUM(G894:J894)</f>
        <v>0</v>
      </c>
      <c r="G894" s="2490"/>
      <c r="H894" s="2490"/>
      <c r="I894" s="2490"/>
      <c r="J894" s="2491"/>
      <c r="K894" s="2482"/>
      <c r="L894" s="2484"/>
      <c r="M894" s="2484"/>
      <c r="N894" s="2484"/>
      <c r="O894" s="2484"/>
      <c r="P894" s="2484"/>
      <c r="Q894" s="2484"/>
      <c r="R894" s="2484"/>
      <c r="S894" s="2484"/>
      <c r="T894" s="2484"/>
      <c r="U894" s="2484"/>
      <c r="V894" s="2484"/>
      <c r="W894" s="2484"/>
      <c r="X894" s="2484"/>
      <c r="Y894" s="2484"/>
      <c r="Z894" s="2484"/>
      <c r="AA894" s="2484"/>
      <c r="AB894" s="2484"/>
      <c r="AC894" s="2484"/>
      <c r="AD894" s="2484"/>
      <c r="AE894" s="2484"/>
      <c r="AF894" s="2484"/>
      <c r="AG894" s="2484"/>
      <c r="AH894" s="2484"/>
      <c r="AI894" s="2484"/>
      <c r="AJ894" s="2484"/>
      <c r="AK894" s="2484"/>
      <c r="AL894" s="2484"/>
      <c r="AM894" s="2484"/>
      <c r="AN894" s="2484"/>
      <c r="AO894" s="2484"/>
      <c r="AP894" s="2484"/>
      <c r="AQ894" s="2484"/>
      <c r="AR894" s="2484"/>
      <c r="AS894" s="2484"/>
      <c r="AT894" s="2484"/>
      <c r="AU894" s="2484"/>
      <c r="AV894" s="2484"/>
      <c r="AW894" s="2484"/>
      <c r="AX894" s="2484"/>
      <c r="AY894" s="2484"/>
      <c r="AZ894" s="2484"/>
      <c r="BA894" s="2484"/>
      <c r="BB894" s="2484"/>
      <c r="BC894" s="2484"/>
      <c r="BD894" s="2484"/>
      <c r="BE894" s="2484"/>
      <c r="BF894" s="2484"/>
      <c r="BG894" s="2484"/>
      <c r="BH894" s="2484"/>
      <c r="BI894" s="2484"/>
      <c r="BJ894" s="2484"/>
      <c r="BK894" s="2484"/>
      <c r="BL894" s="2484"/>
      <c r="BM894" s="2484"/>
      <c r="BN894" s="2484"/>
      <c r="BO894" s="2484"/>
      <c r="BP894" s="2484"/>
      <c r="BQ894" s="2484"/>
      <c r="BR894" s="2484"/>
      <c r="BS894" s="2484"/>
      <c r="BT894" s="2484"/>
      <c r="BU894" s="2484"/>
      <c r="BV894" s="2484"/>
      <c r="BW894" s="2484"/>
      <c r="BX894" s="2484"/>
      <c r="BY894" s="2484"/>
      <c r="BZ894" s="2484"/>
      <c r="CA894" s="2484"/>
      <c r="CB894" s="2484"/>
      <c r="CC894" s="2484"/>
      <c r="CD894" s="2484"/>
      <c r="CE894" s="2484"/>
      <c r="CF894" s="2484"/>
      <c r="CG894" s="2484"/>
      <c r="CH894" s="2484"/>
      <c r="CI894" s="2484"/>
      <c r="CJ894" s="2484"/>
      <c r="CK894" s="2484"/>
      <c r="CL894" s="2484"/>
      <c r="CM894" s="2484"/>
      <c r="CN894" s="2484"/>
      <c r="CO894" s="2484"/>
      <c r="CP894" s="2484"/>
      <c r="CQ894" s="2484"/>
      <c r="CR894" s="2484"/>
      <c r="CS894" s="2484"/>
      <c r="CT894" s="2484"/>
      <c r="CU894" s="2484"/>
      <c r="CV894" s="2484"/>
      <c r="CW894" s="2484"/>
      <c r="CX894" s="2484"/>
      <c r="CY894" s="2484"/>
      <c r="CZ894" s="2484"/>
      <c r="DA894" s="2484"/>
      <c r="DB894" s="2484"/>
      <c r="DC894" s="2484"/>
      <c r="DD894" s="2484"/>
      <c r="DE894" s="2484"/>
      <c r="DF894" s="2484"/>
      <c r="DG894" s="2484"/>
      <c r="DH894" s="2484"/>
      <c r="DI894" s="2484"/>
      <c r="DJ894" s="2484"/>
      <c r="DK894" s="2484"/>
      <c r="DL894" s="2484"/>
      <c r="DM894" s="2484"/>
      <c r="DN894" s="2484"/>
      <c r="DO894" s="2484"/>
      <c r="DP894" s="2484"/>
      <c r="DQ894" s="2484"/>
      <c r="DR894" s="2484"/>
      <c r="DS894" s="2484"/>
      <c r="DT894" s="2484"/>
      <c r="DU894" s="2484"/>
      <c r="DV894" s="2484"/>
      <c r="DW894" s="2484"/>
      <c r="DX894" s="2484"/>
      <c r="DY894" s="2484"/>
      <c r="DZ894" s="2484"/>
      <c r="EA894" s="2484"/>
      <c r="EB894" s="2484"/>
      <c r="EC894" s="2484"/>
      <c r="ED894" s="2484"/>
      <c r="EE894" s="2484"/>
      <c r="EF894" s="2484"/>
      <c r="EG894" s="2484"/>
      <c r="EH894" s="2484"/>
      <c r="EI894" s="2484"/>
      <c r="EJ894" s="2484"/>
      <c r="EK894" s="2484"/>
      <c r="EL894" s="2484"/>
      <c r="EM894" s="2484"/>
      <c r="EN894" s="2484"/>
      <c r="EO894" s="2484"/>
      <c r="EP894" s="2484"/>
      <c r="EQ894" s="2484"/>
      <c r="ER894" s="2484"/>
      <c r="ES894" s="2484"/>
      <c r="ET894" s="2484"/>
      <c r="EU894" s="2484"/>
      <c r="EV894" s="2484"/>
      <c r="EW894" s="2484"/>
      <c r="EX894" s="2484"/>
      <c r="EY894" s="2484"/>
      <c r="EZ894" s="2484"/>
      <c r="FA894" s="2484"/>
      <c r="FB894" s="2484"/>
      <c r="FC894" s="2484"/>
      <c r="FD894" s="2484"/>
      <c r="FE894" s="2484"/>
      <c r="FF894" s="2484"/>
      <c r="FG894" s="2484"/>
      <c r="FH894" s="2484"/>
      <c r="FI894" s="2484"/>
      <c r="FJ894" s="2484"/>
      <c r="FK894" s="2484"/>
      <c r="FL894" s="2484"/>
      <c r="FM894" s="2484"/>
      <c r="FN894" s="2484"/>
      <c r="FO894" s="2484"/>
      <c r="FP894" s="2484"/>
      <c r="FQ894" s="2484"/>
      <c r="FR894" s="2484"/>
      <c r="FS894" s="2484"/>
      <c r="FT894" s="2484"/>
      <c r="FU894" s="2484"/>
      <c r="FV894" s="2484"/>
      <c r="FW894" s="2484"/>
      <c r="FX894" s="2484"/>
      <c r="FY894" s="2484"/>
      <c r="FZ894" s="2484"/>
      <c r="GA894" s="2484"/>
      <c r="GB894" s="2484"/>
      <c r="GC894" s="2484"/>
      <c r="GD894" s="2484"/>
      <c r="GE894" s="2484"/>
      <c r="GF894" s="2484"/>
      <c r="GG894" s="2484"/>
      <c r="GH894" s="2484"/>
      <c r="GI894" s="2484"/>
      <c r="GJ894" s="2484"/>
      <c r="GK894" s="2484"/>
      <c r="GL894" s="2484"/>
      <c r="GM894" s="2484"/>
      <c r="GN894" s="2484"/>
      <c r="GO894" s="2484"/>
      <c r="GP894" s="2484"/>
      <c r="GQ894" s="2484"/>
      <c r="GR894" s="2484"/>
      <c r="GS894" s="2484"/>
      <c r="GT894" s="2484"/>
      <c r="GU894" s="2484"/>
      <c r="GV894" s="2484"/>
      <c r="GW894" s="2484"/>
      <c r="GX894" s="2484"/>
      <c r="GY894" s="2484"/>
      <c r="GZ894" s="2484"/>
      <c r="HA894" s="2484"/>
      <c r="HB894" s="2484"/>
      <c r="HC894" s="2484"/>
      <c r="HD894" s="2484"/>
      <c r="HE894" s="2484"/>
      <c r="HF894" s="2484"/>
      <c r="HG894" s="2484"/>
      <c r="HH894" s="2484"/>
      <c r="HI894" s="2484"/>
      <c r="HJ894" s="2484"/>
      <c r="HK894" s="2484"/>
      <c r="HL894" s="2484"/>
      <c r="HM894" s="2484"/>
      <c r="HN894" s="2484"/>
      <c r="HO894" s="2484"/>
      <c r="HP894" s="2484"/>
      <c r="HQ894" s="2484"/>
      <c r="HR894" s="2484"/>
    </row>
    <row r="895" spans="1:226" s="2485" customFormat="1" ht="15" hidden="1" customHeight="1">
      <c r="A895" s="3112"/>
      <c r="B895" s="3113"/>
      <c r="C895" s="3114"/>
      <c r="D895" s="3134"/>
      <c r="E895" s="2497" t="s">
        <v>1094</v>
      </c>
      <c r="F895" s="2498">
        <f>SUM(F896:F897)</f>
        <v>0</v>
      </c>
      <c r="G895" s="2498">
        <f>SUM(G896:G897)</f>
        <v>0</v>
      </c>
      <c r="H895" s="2498">
        <f>SUM(H896:H897)</f>
        <v>0</v>
      </c>
      <c r="I895" s="2498">
        <f>SUM(I896:I897)</f>
        <v>0</v>
      </c>
      <c r="J895" s="2499">
        <f>SUM(J896:J897)</f>
        <v>0</v>
      </c>
      <c r="K895" s="2482"/>
    </row>
    <row r="896" spans="1:226" s="2485" customFormat="1" ht="15" hidden="1" customHeight="1">
      <c r="A896" s="3112"/>
      <c r="B896" s="3113"/>
      <c r="C896" s="3114"/>
      <c r="D896" s="3134"/>
      <c r="E896" s="2489"/>
      <c r="F896" s="2490">
        <f>SUM(G896:J896)</f>
        <v>0</v>
      </c>
      <c r="G896" s="2490"/>
      <c r="H896" s="2490"/>
      <c r="I896" s="2490"/>
      <c r="J896" s="2491"/>
      <c r="K896" s="2482"/>
    </row>
    <row r="897" spans="1:226" s="2485" customFormat="1" ht="15" hidden="1" customHeight="1">
      <c r="A897" s="3112"/>
      <c r="B897" s="3113"/>
      <c r="C897" s="3114"/>
      <c r="D897" s="3134"/>
      <c r="E897" s="2489"/>
      <c r="F897" s="2490">
        <f>SUM(G897:J897)</f>
        <v>0</v>
      </c>
      <c r="G897" s="2490"/>
      <c r="H897" s="2490"/>
      <c r="I897" s="2490"/>
      <c r="J897" s="2491"/>
      <c r="K897" s="2482"/>
    </row>
    <row r="898" spans="1:226" s="2485" customFormat="1" ht="15" customHeight="1">
      <c r="A898" s="3112"/>
      <c r="B898" s="3113"/>
      <c r="C898" s="3114"/>
      <c r="D898" s="3134"/>
      <c r="E898" s="2492" t="s">
        <v>1087</v>
      </c>
      <c r="F898" s="2487">
        <f>SUM(F899:F904)</f>
        <v>10199889</v>
      </c>
      <c r="G898" s="2487">
        <f>SUM(G899:G904)</f>
        <v>2439484</v>
      </c>
      <c r="H898" s="2487">
        <f>SUM(H899:H904)</f>
        <v>7760405</v>
      </c>
      <c r="I898" s="2487">
        <f>SUM(I899:I904)</f>
        <v>0</v>
      </c>
      <c r="J898" s="2488">
        <f>SUM(J899:J904)</f>
        <v>0</v>
      </c>
      <c r="K898" s="2482"/>
    </row>
    <row r="899" spans="1:226" s="2485" customFormat="1" ht="15" customHeight="1">
      <c r="A899" s="3112"/>
      <c r="B899" s="3113"/>
      <c r="C899" s="3114"/>
      <c r="D899" s="3134"/>
      <c r="E899" s="2489" t="s">
        <v>582</v>
      </c>
      <c r="F899" s="2490">
        <f t="shared" ref="F899:F904" si="89">SUM(G899:J899)</f>
        <v>1070000</v>
      </c>
      <c r="G899" s="2490">
        <v>1070000</v>
      </c>
      <c r="H899" s="2490"/>
      <c r="I899" s="2490"/>
      <c r="J899" s="2491"/>
      <c r="K899" s="2482"/>
    </row>
    <row r="900" spans="1:226" s="2485" customFormat="1" ht="15" customHeight="1">
      <c r="A900" s="3112"/>
      <c r="B900" s="3113"/>
      <c r="C900" s="3114"/>
      <c r="D900" s="3134"/>
      <c r="E900" s="2489" t="s">
        <v>676</v>
      </c>
      <c r="F900" s="2490">
        <f t="shared" si="89"/>
        <v>7590405</v>
      </c>
      <c r="G900" s="2490"/>
      <c r="H900" s="2490">
        <v>7590405</v>
      </c>
      <c r="I900" s="2490"/>
      <c r="J900" s="2491"/>
      <c r="K900" s="2482"/>
    </row>
    <row r="901" spans="1:226" s="2485" customFormat="1" ht="15" customHeight="1">
      <c r="A901" s="3112"/>
      <c r="B901" s="3113"/>
      <c r="C901" s="3114"/>
      <c r="D901" s="3134"/>
      <c r="E901" s="2489" t="s">
        <v>677</v>
      </c>
      <c r="F901" s="2490">
        <f t="shared" si="89"/>
        <v>1339484</v>
      </c>
      <c r="G901" s="2490">
        <v>1339484</v>
      </c>
      <c r="H901" s="2490"/>
      <c r="I901" s="2490"/>
      <c r="J901" s="2491"/>
      <c r="K901" s="2482"/>
    </row>
    <row r="902" spans="1:226" s="2485" customFormat="1" ht="15" hidden="1" customHeight="1">
      <c r="A902" s="3112"/>
      <c r="B902" s="3113"/>
      <c r="C902" s="3114"/>
      <c r="D902" s="3134"/>
      <c r="E902" s="2489" t="s">
        <v>576</v>
      </c>
      <c r="F902" s="2490">
        <f t="shared" si="89"/>
        <v>0</v>
      </c>
      <c r="G902" s="2490"/>
      <c r="H902" s="2490"/>
      <c r="I902" s="2490"/>
      <c r="J902" s="2491"/>
      <c r="K902" s="2482"/>
    </row>
    <row r="903" spans="1:226" s="2485" customFormat="1" ht="15" customHeight="1">
      <c r="A903" s="3112"/>
      <c r="B903" s="3113"/>
      <c r="C903" s="3114"/>
      <c r="D903" s="3134"/>
      <c r="E903" s="2489" t="s">
        <v>655</v>
      </c>
      <c r="F903" s="2490">
        <f t="shared" si="89"/>
        <v>170000</v>
      </c>
      <c r="G903" s="2490"/>
      <c r="H903" s="2490">
        <v>170000</v>
      </c>
      <c r="I903" s="2490"/>
      <c r="J903" s="2491"/>
      <c r="K903" s="2482"/>
    </row>
    <row r="904" spans="1:226" s="2485" customFormat="1" ht="15" customHeight="1">
      <c r="A904" s="3112"/>
      <c r="B904" s="3113"/>
      <c r="C904" s="3114"/>
      <c r="D904" s="3134"/>
      <c r="E904" s="2503">
        <v>6069</v>
      </c>
      <c r="F904" s="2490">
        <f t="shared" si="89"/>
        <v>30000</v>
      </c>
      <c r="G904" s="2490">
        <v>30000</v>
      </c>
      <c r="H904" s="2490"/>
      <c r="I904" s="2490"/>
      <c r="J904" s="2491"/>
      <c r="K904" s="2482"/>
    </row>
    <row r="905" spans="1:226" s="2485" customFormat="1" ht="22.5">
      <c r="A905" s="3112" t="s">
        <v>1116</v>
      </c>
      <c r="B905" s="3113" t="s">
        <v>1172</v>
      </c>
      <c r="C905" s="3114">
        <v>600</v>
      </c>
      <c r="D905" s="3134" t="s">
        <v>682</v>
      </c>
      <c r="E905" s="2479" t="s">
        <v>1086</v>
      </c>
      <c r="F905" s="2480">
        <f>SUM(F906,F913)</f>
        <v>61295174</v>
      </c>
      <c r="G905" s="2480">
        <f>SUM(G906,G913)</f>
        <v>12544181</v>
      </c>
      <c r="H905" s="2480">
        <f>SUM(H906,H913)</f>
        <v>48750993</v>
      </c>
      <c r="I905" s="2480">
        <f>SUM(I906,I913)</f>
        <v>0</v>
      </c>
      <c r="J905" s="2481">
        <f>SUM(J906,J913)</f>
        <v>0</v>
      </c>
      <c r="K905" s="2482"/>
    </row>
    <row r="906" spans="1:226" s="2485" customFormat="1" ht="15" customHeight="1">
      <c r="A906" s="3112"/>
      <c r="B906" s="3113"/>
      <c r="C906" s="3114"/>
      <c r="D906" s="3134"/>
      <c r="E906" s="2486" t="s">
        <v>739</v>
      </c>
      <c r="F906" s="2487">
        <f>SUM(F907,F910)</f>
        <v>0</v>
      </c>
      <c r="G906" s="2487">
        <f>SUM(G907,G910)</f>
        <v>0</v>
      </c>
      <c r="H906" s="2487">
        <f>SUM(H907,H910)</f>
        <v>0</v>
      </c>
      <c r="I906" s="2487">
        <f>SUM(I907,I910)</f>
        <v>0</v>
      </c>
      <c r="J906" s="2488">
        <f>SUM(J907,J910)</f>
        <v>0</v>
      </c>
      <c r="K906" s="2482"/>
    </row>
    <row r="907" spans="1:226" s="2485" customFormat="1" ht="15" hidden="1" customHeight="1">
      <c r="A907" s="3112"/>
      <c r="B907" s="3113"/>
      <c r="C907" s="3114"/>
      <c r="D907" s="3134"/>
      <c r="E907" s="2497" t="s">
        <v>1093</v>
      </c>
      <c r="F907" s="2498">
        <f>SUM(F908:F909)</f>
        <v>0</v>
      </c>
      <c r="G907" s="2498">
        <f>SUM(G908:G909)</f>
        <v>0</v>
      </c>
      <c r="H907" s="2498">
        <f>SUM(H908:H909)</f>
        <v>0</v>
      </c>
      <c r="I907" s="2498">
        <f>SUM(I908:I909)</f>
        <v>0</v>
      </c>
      <c r="J907" s="2499">
        <f>SUM(J908:J909)</f>
        <v>0</v>
      </c>
      <c r="K907" s="2482"/>
    </row>
    <row r="908" spans="1:226" s="2485" customFormat="1" ht="15" hidden="1" customHeight="1">
      <c r="A908" s="3112"/>
      <c r="B908" s="3113"/>
      <c r="C908" s="3114"/>
      <c r="D908" s="3134"/>
      <c r="E908" s="2489"/>
      <c r="F908" s="2490">
        <f>SUM(G908:J908)</f>
        <v>0</v>
      </c>
      <c r="G908" s="2490"/>
      <c r="H908" s="2490"/>
      <c r="I908" s="2490"/>
      <c r="J908" s="2491"/>
      <c r="K908" s="2482"/>
    </row>
    <row r="909" spans="1:226" s="2485" customFormat="1" ht="15" hidden="1" customHeight="1">
      <c r="A909" s="3112"/>
      <c r="B909" s="3113"/>
      <c r="C909" s="3114"/>
      <c r="D909" s="3134"/>
      <c r="E909" s="2489"/>
      <c r="F909" s="2490">
        <f>SUM(G909:J909)</f>
        <v>0</v>
      </c>
      <c r="G909" s="2490"/>
      <c r="H909" s="2490"/>
      <c r="I909" s="2490"/>
      <c r="J909" s="2491"/>
      <c r="K909" s="2482"/>
      <c r="L909" s="2484"/>
      <c r="M909" s="2484"/>
      <c r="N909" s="2484"/>
      <c r="O909" s="2484"/>
      <c r="P909" s="2484"/>
      <c r="Q909" s="2484"/>
      <c r="R909" s="2484"/>
      <c r="S909" s="2484"/>
      <c r="T909" s="2484"/>
      <c r="U909" s="2484"/>
      <c r="V909" s="2484"/>
      <c r="W909" s="2484"/>
      <c r="X909" s="2484"/>
      <c r="Y909" s="2484"/>
      <c r="Z909" s="2484"/>
      <c r="AA909" s="2484"/>
      <c r="AB909" s="2484"/>
      <c r="AC909" s="2484"/>
      <c r="AD909" s="2484"/>
      <c r="AE909" s="2484"/>
      <c r="AF909" s="2484"/>
      <c r="AG909" s="2484"/>
      <c r="AH909" s="2484"/>
      <c r="AI909" s="2484"/>
      <c r="AJ909" s="2484"/>
      <c r="AK909" s="2484"/>
      <c r="AL909" s="2484"/>
      <c r="AM909" s="2484"/>
      <c r="AN909" s="2484"/>
      <c r="AO909" s="2484"/>
      <c r="AP909" s="2484"/>
      <c r="AQ909" s="2484"/>
      <c r="AR909" s="2484"/>
      <c r="AS909" s="2484"/>
      <c r="AT909" s="2484"/>
      <c r="AU909" s="2484"/>
      <c r="AV909" s="2484"/>
      <c r="AW909" s="2484"/>
      <c r="AX909" s="2484"/>
      <c r="AY909" s="2484"/>
      <c r="AZ909" s="2484"/>
      <c r="BA909" s="2484"/>
      <c r="BB909" s="2484"/>
      <c r="BC909" s="2484"/>
      <c r="BD909" s="2484"/>
      <c r="BE909" s="2484"/>
      <c r="BF909" s="2484"/>
      <c r="BG909" s="2484"/>
      <c r="BH909" s="2484"/>
      <c r="BI909" s="2484"/>
      <c r="BJ909" s="2484"/>
      <c r="BK909" s="2484"/>
      <c r="BL909" s="2484"/>
      <c r="BM909" s="2484"/>
      <c r="BN909" s="2484"/>
      <c r="BO909" s="2484"/>
      <c r="BP909" s="2484"/>
      <c r="BQ909" s="2484"/>
      <c r="BR909" s="2484"/>
      <c r="BS909" s="2484"/>
      <c r="BT909" s="2484"/>
      <c r="BU909" s="2484"/>
      <c r="BV909" s="2484"/>
      <c r="BW909" s="2484"/>
      <c r="BX909" s="2484"/>
      <c r="BY909" s="2484"/>
      <c r="BZ909" s="2484"/>
      <c r="CA909" s="2484"/>
      <c r="CB909" s="2484"/>
      <c r="CC909" s="2484"/>
      <c r="CD909" s="2484"/>
      <c r="CE909" s="2484"/>
      <c r="CF909" s="2484"/>
      <c r="CG909" s="2484"/>
      <c r="CH909" s="2484"/>
      <c r="CI909" s="2484"/>
      <c r="CJ909" s="2484"/>
      <c r="CK909" s="2484"/>
      <c r="CL909" s="2484"/>
      <c r="CM909" s="2484"/>
      <c r="CN909" s="2484"/>
      <c r="CO909" s="2484"/>
      <c r="CP909" s="2484"/>
      <c r="CQ909" s="2484"/>
      <c r="CR909" s="2484"/>
      <c r="CS909" s="2484"/>
      <c r="CT909" s="2484"/>
      <c r="CU909" s="2484"/>
      <c r="CV909" s="2484"/>
      <c r="CW909" s="2484"/>
      <c r="CX909" s="2484"/>
      <c r="CY909" s="2484"/>
      <c r="CZ909" s="2484"/>
      <c r="DA909" s="2484"/>
      <c r="DB909" s="2484"/>
      <c r="DC909" s="2484"/>
      <c r="DD909" s="2484"/>
      <c r="DE909" s="2484"/>
      <c r="DF909" s="2484"/>
      <c r="DG909" s="2484"/>
      <c r="DH909" s="2484"/>
      <c r="DI909" s="2484"/>
      <c r="DJ909" s="2484"/>
      <c r="DK909" s="2484"/>
      <c r="DL909" s="2484"/>
      <c r="DM909" s="2484"/>
      <c r="DN909" s="2484"/>
      <c r="DO909" s="2484"/>
      <c r="DP909" s="2484"/>
      <c r="DQ909" s="2484"/>
      <c r="DR909" s="2484"/>
      <c r="DS909" s="2484"/>
      <c r="DT909" s="2484"/>
      <c r="DU909" s="2484"/>
      <c r="DV909" s="2484"/>
      <c r="DW909" s="2484"/>
      <c r="DX909" s="2484"/>
      <c r="DY909" s="2484"/>
      <c r="DZ909" s="2484"/>
      <c r="EA909" s="2484"/>
      <c r="EB909" s="2484"/>
      <c r="EC909" s="2484"/>
      <c r="ED909" s="2484"/>
      <c r="EE909" s="2484"/>
      <c r="EF909" s="2484"/>
      <c r="EG909" s="2484"/>
      <c r="EH909" s="2484"/>
      <c r="EI909" s="2484"/>
      <c r="EJ909" s="2484"/>
      <c r="EK909" s="2484"/>
      <c r="EL909" s="2484"/>
      <c r="EM909" s="2484"/>
      <c r="EN909" s="2484"/>
      <c r="EO909" s="2484"/>
      <c r="EP909" s="2484"/>
      <c r="EQ909" s="2484"/>
      <c r="ER909" s="2484"/>
      <c r="ES909" s="2484"/>
      <c r="ET909" s="2484"/>
      <c r="EU909" s="2484"/>
      <c r="EV909" s="2484"/>
      <c r="EW909" s="2484"/>
      <c r="EX909" s="2484"/>
      <c r="EY909" s="2484"/>
      <c r="EZ909" s="2484"/>
      <c r="FA909" s="2484"/>
      <c r="FB909" s="2484"/>
      <c r="FC909" s="2484"/>
      <c r="FD909" s="2484"/>
      <c r="FE909" s="2484"/>
      <c r="FF909" s="2484"/>
      <c r="FG909" s="2484"/>
      <c r="FH909" s="2484"/>
      <c r="FI909" s="2484"/>
      <c r="FJ909" s="2484"/>
      <c r="FK909" s="2484"/>
      <c r="FL909" s="2484"/>
      <c r="FM909" s="2484"/>
      <c r="FN909" s="2484"/>
      <c r="FO909" s="2484"/>
      <c r="FP909" s="2484"/>
      <c r="FQ909" s="2484"/>
      <c r="FR909" s="2484"/>
      <c r="FS909" s="2484"/>
      <c r="FT909" s="2484"/>
      <c r="FU909" s="2484"/>
      <c r="FV909" s="2484"/>
      <c r="FW909" s="2484"/>
      <c r="FX909" s="2484"/>
      <c r="FY909" s="2484"/>
      <c r="FZ909" s="2484"/>
      <c r="GA909" s="2484"/>
      <c r="GB909" s="2484"/>
      <c r="GC909" s="2484"/>
      <c r="GD909" s="2484"/>
      <c r="GE909" s="2484"/>
      <c r="GF909" s="2484"/>
      <c r="GG909" s="2484"/>
      <c r="GH909" s="2484"/>
      <c r="GI909" s="2484"/>
      <c r="GJ909" s="2484"/>
      <c r="GK909" s="2484"/>
      <c r="GL909" s="2484"/>
      <c r="GM909" s="2484"/>
      <c r="GN909" s="2484"/>
      <c r="GO909" s="2484"/>
      <c r="GP909" s="2484"/>
      <c r="GQ909" s="2484"/>
      <c r="GR909" s="2484"/>
      <c r="GS909" s="2484"/>
      <c r="GT909" s="2484"/>
      <c r="GU909" s="2484"/>
      <c r="GV909" s="2484"/>
      <c r="GW909" s="2484"/>
      <c r="GX909" s="2484"/>
      <c r="GY909" s="2484"/>
      <c r="GZ909" s="2484"/>
      <c r="HA909" s="2484"/>
      <c r="HB909" s="2484"/>
      <c r="HC909" s="2484"/>
      <c r="HD909" s="2484"/>
      <c r="HE909" s="2484"/>
      <c r="HF909" s="2484"/>
      <c r="HG909" s="2484"/>
      <c r="HH909" s="2484"/>
      <c r="HI909" s="2484"/>
      <c r="HJ909" s="2484"/>
      <c r="HK909" s="2484"/>
      <c r="HL909" s="2484"/>
      <c r="HM909" s="2484"/>
      <c r="HN909" s="2484"/>
      <c r="HO909" s="2484"/>
      <c r="HP909" s="2484"/>
      <c r="HQ909" s="2484"/>
      <c r="HR909" s="2484"/>
    </row>
    <row r="910" spans="1:226" s="2485" customFormat="1" ht="15" hidden="1" customHeight="1">
      <c r="A910" s="3112"/>
      <c r="B910" s="3113"/>
      <c r="C910" s="3114"/>
      <c r="D910" s="3134"/>
      <c r="E910" s="2497" t="s">
        <v>1094</v>
      </c>
      <c r="F910" s="2498">
        <f>SUM(F911:F912)</f>
        <v>0</v>
      </c>
      <c r="G910" s="2498">
        <f>SUM(G911:G912)</f>
        <v>0</v>
      </c>
      <c r="H910" s="2498">
        <f>SUM(H911:H912)</f>
        <v>0</v>
      </c>
      <c r="I910" s="2498">
        <f>SUM(I911:I912)</f>
        <v>0</v>
      </c>
      <c r="J910" s="2499">
        <f>SUM(J911:J912)</f>
        <v>0</v>
      </c>
      <c r="K910" s="2482"/>
    </row>
    <row r="911" spans="1:226" s="2485" customFormat="1" ht="15" hidden="1" customHeight="1">
      <c r="A911" s="3112"/>
      <c r="B911" s="3113"/>
      <c r="C911" s="3114"/>
      <c r="D911" s="3134"/>
      <c r="E911" s="2489"/>
      <c r="F911" s="2490">
        <f>SUM(G911:J911)</f>
        <v>0</v>
      </c>
      <c r="G911" s="2490"/>
      <c r="H911" s="2490"/>
      <c r="I911" s="2490"/>
      <c r="J911" s="2491"/>
      <c r="K911" s="2482"/>
    </row>
    <row r="912" spans="1:226" s="2485" customFormat="1" ht="15" hidden="1" customHeight="1">
      <c r="A912" s="3112"/>
      <c r="B912" s="3113"/>
      <c r="C912" s="3114"/>
      <c r="D912" s="3134"/>
      <c r="E912" s="2489"/>
      <c r="F912" s="2490">
        <f>SUM(G912:J912)</f>
        <v>0</v>
      </c>
      <c r="G912" s="2490"/>
      <c r="H912" s="2490"/>
      <c r="I912" s="2490"/>
      <c r="J912" s="2491"/>
      <c r="K912" s="2482"/>
    </row>
    <row r="913" spans="1:226" s="2485" customFormat="1" ht="15" customHeight="1">
      <c r="A913" s="3112"/>
      <c r="B913" s="3113"/>
      <c r="C913" s="3114"/>
      <c r="D913" s="3134"/>
      <c r="E913" s="2492" t="s">
        <v>1087</v>
      </c>
      <c r="F913" s="2487">
        <f>SUM(F914:F919)</f>
        <v>61295174</v>
      </c>
      <c r="G913" s="2487">
        <f>SUM(G914:G919)</f>
        <v>12544181</v>
      </c>
      <c r="H913" s="2487">
        <f>SUM(H914:H919)</f>
        <v>48750993</v>
      </c>
      <c r="I913" s="2487">
        <f>SUM(I914:I919)</f>
        <v>0</v>
      </c>
      <c r="J913" s="2488">
        <f>SUM(J914:J919)</f>
        <v>0</v>
      </c>
      <c r="K913" s="2482"/>
    </row>
    <row r="914" spans="1:226" s="2485" customFormat="1" ht="15" customHeight="1">
      <c r="A914" s="3112"/>
      <c r="B914" s="3113"/>
      <c r="C914" s="3114"/>
      <c r="D914" s="3134"/>
      <c r="E914" s="2489" t="s">
        <v>582</v>
      </c>
      <c r="F914" s="2490">
        <f t="shared" ref="F914:F919" si="90">SUM(G914:J914)</f>
        <v>3341064</v>
      </c>
      <c r="G914" s="2490">
        <f>1484817+1856247</f>
        <v>3341064</v>
      </c>
      <c r="H914" s="2490"/>
      <c r="I914" s="2490"/>
      <c r="J914" s="2491"/>
      <c r="K914" s="2482"/>
    </row>
    <row r="915" spans="1:226" s="2485" customFormat="1" ht="15" customHeight="1">
      <c r="A915" s="3112"/>
      <c r="B915" s="3113"/>
      <c r="C915" s="3114"/>
      <c r="D915" s="3134"/>
      <c r="E915" s="2489" t="s">
        <v>676</v>
      </c>
      <c r="F915" s="2490">
        <f t="shared" si="90"/>
        <v>48585610</v>
      </c>
      <c r="G915" s="2490"/>
      <c r="H915" s="2490">
        <v>48585610</v>
      </c>
      <c r="I915" s="2490"/>
      <c r="J915" s="2491"/>
      <c r="K915" s="2482"/>
    </row>
    <row r="916" spans="1:226" s="2485" customFormat="1" ht="15" customHeight="1">
      <c r="A916" s="3112"/>
      <c r="B916" s="3113"/>
      <c r="C916" s="3114"/>
      <c r="D916" s="3134"/>
      <c r="E916" s="2489" t="s">
        <v>677</v>
      </c>
      <c r="F916" s="2490">
        <f t="shared" si="90"/>
        <v>8573932</v>
      </c>
      <c r="G916" s="2490">
        <v>8573932</v>
      </c>
      <c r="H916" s="2490"/>
      <c r="I916" s="2490"/>
      <c r="J916" s="2491"/>
      <c r="K916" s="2482"/>
    </row>
    <row r="917" spans="1:226" s="2485" customFormat="1" ht="15" customHeight="1">
      <c r="A917" s="3112"/>
      <c r="B917" s="3113"/>
      <c r="C917" s="3114"/>
      <c r="D917" s="3134"/>
      <c r="E917" s="2489" t="s">
        <v>576</v>
      </c>
      <c r="F917" s="2490">
        <f t="shared" si="90"/>
        <v>600000</v>
      </c>
      <c r="G917" s="2490">
        <v>600000</v>
      </c>
      <c r="H917" s="2490"/>
      <c r="I917" s="2490"/>
      <c r="J917" s="2491"/>
      <c r="K917" s="2482"/>
    </row>
    <row r="918" spans="1:226" s="2485" customFormat="1" ht="15" customHeight="1">
      <c r="A918" s="3112"/>
      <c r="B918" s="3113"/>
      <c r="C918" s="3114"/>
      <c r="D918" s="3134"/>
      <c r="E918" s="2489" t="s">
        <v>655</v>
      </c>
      <c r="F918" s="2490">
        <f t="shared" si="90"/>
        <v>165383</v>
      </c>
      <c r="G918" s="2490"/>
      <c r="H918" s="2490">
        <v>165383</v>
      </c>
      <c r="I918" s="2490"/>
      <c r="J918" s="2491"/>
      <c r="K918" s="2482"/>
    </row>
    <row r="919" spans="1:226" s="2485" customFormat="1" ht="15" customHeight="1">
      <c r="A919" s="3112"/>
      <c r="B919" s="3113"/>
      <c r="C919" s="3114"/>
      <c r="D919" s="3134"/>
      <c r="E919" s="2503">
        <v>6069</v>
      </c>
      <c r="F919" s="2490">
        <f t="shared" si="90"/>
        <v>29185</v>
      </c>
      <c r="G919" s="2490">
        <v>29185</v>
      </c>
      <c r="H919" s="2490"/>
      <c r="I919" s="2490"/>
      <c r="J919" s="2491"/>
      <c r="K919" s="2482"/>
    </row>
    <row r="920" spans="1:226" s="2485" customFormat="1" ht="22.5" customHeight="1">
      <c r="A920" s="3139" t="s">
        <v>1118</v>
      </c>
      <c r="B920" s="3148" t="s">
        <v>1173</v>
      </c>
      <c r="C920" s="3115">
        <v>600</v>
      </c>
      <c r="D920" s="3117" t="s">
        <v>682</v>
      </c>
      <c r="E920" s="2479" t="s">
        <v>1086</v>
      </c>
      <c r="F920" s="2480">
        <f>SUM(F921,F928)</f>
        <v>40715518</v>
      </c>
      <c r="G920" s="2480">
        <f>SUM(G921,G928)</f>
        <v>7228983</v>
      </c>
      <c r="H920" s="2480">
        <f>SUM(H921,H928)</f>
        <v>33486535</v>
      </c>
      <c r="I920" s="2480">
        <f>SUM(I921,I928)</f>
        <v>0</v>
      </c>
      <c r="J920" s="2481">
        <f>SUM(J921,J928)</f>
        <v>0</v>
      </c>
      <c r="K920" s="2482"/>
    </row>
    <row r="921" spans="1:226" s="2485" customFormat="1" ht="15" customHeight="1">
      <c r="A921" s="3140"/>
      <c r="B921" s="3149"/>
      <c r="C921" s="3145"/>
      <c r="D921" s="3146"/>
      <c r="E921" s="2486" t="s">
        <v>739</v>
      </c>
      <c r="F921" s="2487">
        <f>SUM(F922,F925)</f>
        <v>0</v>
      </c>
      <c r="G921" s="2487">
        <f>SUM(G922,G925)</f>
        <v>0</v>
      </c>
      <c r="H921" s="2487">
        <f>SUM(H922,H925)</f>
        <v>0</v>
      </c>
      <c r="I921" s="2487">
        <f>SUM(I922,I925)</f>
        <v>0</v>
      </c>
      <c r="J921" s="2488">
        <f>SUM(J922,J925)</f>
        <v>0</v>
      </c>
      <c r="K921" s="2482"/>
    </row>
    <row r="922" spans="1:226" s="2485" customFormat="1" ht="15" hidden="1" customHeight="1">
      <c r="A922" s="3140"/>
      <c r="B922" s="3149"/>
      <c r="C922" s="3145"/>
      <c r="D922" s="3146"/>
      <c r="E922" s="2497" t="s">
        <v>1093</v>
      </c>
      <c r="F922" s="2498">
        <f>SUM(F923:F924)</f>
        <v>0</v>
      </c>
      <c r="G922" s="2498">
        <f>SUM(G923:G924)</f>
        <v>0</v>
      </c>
      <c r="H922" s="2498">
        <f>SUM(H923:H924)</f>
        <v>0</v>
      </c>
      <c r="I922" s="2498">
        <f>SUM(I923:I924)</f>
        <v>0</v>
      </c>
      <c r="J922" s="2499">
        <f>SUM(J923:J924)</f>
        <v>0</v>
      </c>
      <c r="K922" s="2482"/>
    </row>
    <row r="923" spans="1:226" s="2485" customFormat="1" ht="15" hidden="1" customHeight="1">
      <c r="A923" s="3140"/>
      <c r="B923" s="3149"/>
      <c r="C923" s="3145"/>
      <c r="D923" s="3146"/>
      <c r="E923" s="2489"/>
      <c r="F923" s="2490">
        <f>SUM(G923:J923)</f>
        <v>0</v>
      </c>
      <c r="G923" s="2490"/>
      <c r="H923" s="2490"/>
      <c r="I923" s="2490"/>
      <c r="J923" s="2491"/>
      <c r="K923" s="2482"/>
    </row>
    <row r="924" spans="1:226" s="2485" customFormat="1" ht="15" hidden="1" customHeight="1">
      <c r="A924" s="3140"/>
      <c r="B924" s="3149"/>
      <c r="C924" s="3145"/>
      <c r="D924" s="3146"/>
      <c r="E924" s="2489"/>
      <c r="F924" s="2490">
        <f>SUM(G924:J924)</f>
        <v>0</v>
      </c>
      <c r="G924" s="2490"/>
      <c r="H924" s="2490"/>
      <c r="I924" s="2490"/>
      <c r="J924" s="2491"/>
      <c r="K924" s="2482"/>
      <c r="L924" s="2484"/>
      <c r="M924" s="2484"/>
      <c r="N924" s="2484"/>
      <c r="O924" s="2484"/>
      <c r="P924" s="2484"/>
      <c r="Q924" s="2484"/>
      <c r="R924" s="2484"/>
      <c r="S924" s="2484"/>
      <c r="T924" s="2484"/>
      <c r="U924" s="2484"/>
      <c r="V924" s="2484"/>
      <c r="W924" s="2484"/>
      <c r="X924" s="2484"/>
      <c r="Y924" s="2484"/>
      <c r="Z924" s="2484"/>
      <c r="AA924" s="2484"/>
      <c r="AB924" s="2484"/>
      <c r="AC924" s="2484"/>
      <c r="AD924" s="2484"/>
      <c r="AE924" s="2484"/>
      <c r="AF924" s="2484"/>
      <c r="AG924" s="2484"/>
      <c r="AH924" s="2484"/>
      <c r="AI924" s="2484"/>
      <c r="AJ924" s="2484"/>
      <c r="AK924" s="2484"/>
      <c r="AL924" s="2484"/>
      <c r="AM924" s="2484"/>
      <c r="AN924" s="2484"/>
      <c r="AO924" s="2484"/>
      <c r="AP924" s="2484"/>
      <c r="AQ924" s="2484"/>
      <c r="AR924" s="2484"/>
      <c r="AS924" s="2484"/>
      <c r="AT924" s="2484"/>
      <c r="AU924" s="2484"/>
      <c r="AV924" s="2484"/>
      <c r="AW924" s="2484"/>
      <c r="AX924" s="2484"/>
      <c r="AY924" s="2484"/>
      <c r="AZ924" s="2484"/>
      <c r="BA924" s="2484"/>
      <c r="BB924" s="2484"/>
      <c r="BC924" s="2484"/>
      <c r="BD924" s="2484"/>
      <c r="BE924" s="2484"/>
      <c r="BF924" s="2484"/>
      <c r="BG924" s="2484"/>
      <c r="BH924" s="2484"/>
      <c r="BI924" s="2484"/>
      <c r="BJ924" s="2484"/>
      <c r="BK924" s="2484"/>
      <c r="BL924" s="2484"/>
      <c r="BM924" s="2484"/>
      <c r="BN924" s="2484"/>
      <c r="BO924" s="2484"/>
      <c r="BP924" s="2484"/>
      <c r="BQ924" s="2484"/>
      <c r="BR924" s="2484"/>
      <c r="BS924" s="2484"/>
      <c r="BT924" s="2484"/>
      <c r="BU924" s="2484"/>
      <c r="BV924" s="2484"/>
      <c r="BW924" s="2484"/>
      <c r="BX924" s="2484"/>
      <c r="BY924" s="2484"/>
      <c r="BZ924" s="2484"/>
      <c r="CA924" s="2484"/>
      <c r="CB924" s="2484"/>
      <c r="CC924" s="2484"/>
      <c r="CD924" s="2484"/>
      <c r="CE924" s="2484"/>
      <c r="CF924" s="2484"/>
      <c r="CG924" s="2484"/>
      <c r="CH924" s="2484"/>
      <c r="CI924" s="2484"/>
      <c r="CJ924" s="2484"/>
      <c r="CK924" s="2484"/>
      <c r="CL924" s="2484"/>
      <c r="CM924" s="2484"/>
      <c r="CN924" s="2484"/>
      <c r="CO924" s="2484"/>
      <c r="CP924" s="2484"/>
      <c r="CQ924" s="2484"/>
      <c r="CR924" s="2484"/>
      <c r="CS924" s="2484"/>
      <c r="CT924" s="2484"/>
      <c r="CU924" s="2484"/>
      <c r="CV924" s="2484"/>
      <c r="CW924" s="2484"/>
      <c r="CX924" s="2484"/>
      <c r="CY924" s="2484"/>
      <c r="CZ924" s="2484"/>
      <c r="DA924" s="2484"/>
      <c r="DB924" s="2484"/>
      <c r="DC924" s="2484"/>
      <c r="DD924" s="2484"/>
      <c r="DE924" s="2484"/>
      <c r="DF924" s="2484"/>
      <c r="DG924" s="2484"/>
      <c r="DH924" s="2484"/>
      <c r="DI924" s="2484"/>
      <c r="DJ924" s="2484"/>
      <c r="DK924" s="2484"/>
      <c r="DL924" s="2484"/>
      <c r="DM924" s="2484"/>
      <c r="DN924" s="2484"/>
      <c r="DO924" s="2484"/>
      <c r="DP924" s="2484"/>
      <c r="DQ924" s="2484"/>
      <c r="DR924" s="2484"/>
      <c r="DS924" s="2484"/>
      <c r="DT924" s="2484"/>
      <c r="DU924" s="2484"/>
      <c r="DV924" s="2484"/>
      <c r="DW924" s="2484"/>
      <c r="DX924" s="2484"/>
      <c r="DY924" s="2484"/>
      <c r="DZ924" s="2484"/>
      <c r="EA924" s="2484"/>
      <c r="EB924" s="2484"/>
      <c r="EC924" s="2484"/>
      <c r="ED924" s="2484"/>
      <c r="EE924" s="2484"/>
      <c r="EF924" s="2484"/>
      <c r="EG924" s="2484"/>
      <c r="EH924" s="2484"/>
      <c r="EI924" s="2484"/>
      <c r="EJ924" s="2484"/>
      <c r="EK924" s="2484"/>
      <c r="EL924" s="2484"/>
      <c r="EM924" s="2484"/>
      <c r="EN924" s="2484"/>
      <c r="EO924" s="2484"/>
      <c r="EP924" s="2484"/>
      <c r="EQ924" s="2484"/>
      <c r="ER924" s="2484"/>
      <c r="ES924" s="2484"/>
      <c r="ET924" s="2484"/>
      <c r="EU924" s="2484"/>
      <c r="EV924" s="2484"/>
      <c r="EW924" s="2484"/>
      <c r="EX924" s="2484"/>
      <c r="EY924" s="2484"/>
      <c r="EZ924" s="2484"/>
      <c r="FA924" s="2484"/>
      <c r="FB924" s="2484"/>
      <c r="FC924" s="2484"/>
      <c r="FD924" s="2484"/>
      <c r="FE924" s="2484"/>
      <c r="FF924" s="2484"/>
      <c r="FG924" s="2484"/>
      <c r="FH924" s="2484"/>
      <c r="FI924" s="2484"/>
      <c r="FJ924" s="2484"/>
      <c r="FK924" s="2484"/>
      <c r="FL924" s="2484"/>
      <c r="FM924" s="2484"/>
      <c r="FN924" s="2484"/>
      <c r="FO924" s="2484"/>
      <c r="FP924" s="2484"/>
      <c r="FQ924" s="2484"/>
      <c r="FR924" s="2484"/>
      <c r="FS924" s="2484"/>
      <c r="FT924" s="2484"/>
      <c r="FU924" s="2484"/>
      <c r="FV924" s="2484"/>
      <c r="FW924" s="2484"/>
      <c r="FX924" s="2484"/>
      <c r="FY924" s="2484"/>
      <c r="FZ924" s="2484"/>
      <c r="GA924" s="2484"/>
      <c r="GB924" s="2484"/>
      <c r="GC924" s="2484"/>
      <c r="GD924" s="2484"/>
      <c r="GE924" s="2484"/>
      <c r="GF924" s="2484"/>
      <c r="GG924" s="2484"/>
      <c r="GH924" s="2484"/>
      <c r="GI924" s="2484"/>
      <c r="GJ924" s="2484"/>
      <c r="GK924" s="2484"/>
      <c r="GL924" s="2484"/>
      <c r="GM924" s="2484"/>
      <c r="GN924" s="2484"/>
      <c r="GO924" s="2484"/>
      <c r="GP924" s="2484"/>
      <c r="GQ924" s="2484"/>
      <c r="GR924" s="2484"/>
      <c r="GS924" s="2484"/>
      <c r="GT924" s="2484"/>
      <c r="GU924" s="2484"/>
      <c r="GV924" s="2484"/>
      <c r="GW924" s="2484"/>
      <c r="GX924" s="2484"/>
      <c r="GY924" s="2484"/>
      <c r="GZ924" s="2484"/>
      <c r="HA924" s="2484"/>
      <c r="HB924" s="2484"/>
      <c r="HC924" s="2484"/>
      <c r="HD924" s="2484"/>
      <c r="HE924" s="2484"/>
      <c r="HF924" s="2484"/>
      <c r="HG924" s="2484"/>
      <c r="HH924" s="2484"/>
      <c r="HI924" s="2484"/>
      <c r="HJ924" s="2484"/>
      <c r="HK924" s="2484"/>
      <c r="HL924" s="2484"/>
      <c r="HM924" s="2484"/>
      <c r="HN924" s="2484"/>
      <c r="HO924" s="2484"/>
      <c r="HP924" s="2484"/>
      <c r="HQ924" s="2484"/>
      <c r="HR924" s="2484"/>
    </row>
    <row r="925" spans="1:226" s="2485" customFormat="1" ht="15" hidden="1" customHeight="1">
      <c r="A925" s="3140"/>
      <c r="B925" s="3149"/>
      <c r="C925" s="3145"/>
      <c r="D925" s="3146"/>
      <c r="E925" s="2497" t="s">
        <v>1094</v>
      </c>
      <c r="F925" s="2498">
        <f>SUM(F926:F927)</f>
        <v>0</v>
      </c>
      <c r="G925" s="2498">
        <f>SUM(G926:G927)</f>
        <v>0</v>
      </c>
      <c r="H925" s="2498">
        <f>SUM(H926:H927)</f>
        <v>0</v>
      </c>
      <c r="I925" s="2498">
        <f>SUM(I926:I927)</f>
        <v>0</v>
      </c>
      <c r="J925" s="2499">
        <f>SUM(J926:J927)</f>
        <v>0</v>
      </c>
      <c r="K925" s="2482"/>
    </row>
    <row r="926" spans="1:226" s="2485" customFormat="1" ht="15" hidden="1" customHeight="1">
      <c r="A926" s="3140"/>
      <c r="B926" s="3149"/>
      <c r="C926" s="3145"/>
      <c r="D926" s="3146"/>
      <c r="E926" s="2489"/>
      <c r="F926" s="2490">
        <f>SUM(G926:J926)</f>
        <v>0</v>
      </c>
      <c r="G926" s="2490"/>
      <c r="H926" s="2490"/>
      <c r="I926" s="2490"/>
      <c r="J926" s="2491"/>
      <c r="K926" s="2482"/>
    </row>
    <row r="927" spans="1:226" s="2485" customFormat="1" ht="15" hidden="1" customHeight="1">
      <c r="A927" s="3140"/>
      <c r="B927" s="3149"/>
      <c r="C927" s="3145"/>
      <c r="D927" s="3146"/>
      <c r="E927" s="2489"/>
      <c r="F927" s="2490">
        <f>SUM(G927:J927)</f>
        <v>0</v>
      </c>
      <c r="G927" s="2490"/>
      <c r="H927" s="2490"/>
      <c r="I927" s="2490"/>
      <c r="J927" s="2491"/>
      <c r="K927" s="2482"/>
    </row>
    <row r="928" spans="1:226" s="2485" customFormat="1" ht="15" customHeight="1">
      <c r="A928" s="3140"/>
      <c r="B928" s="3149"/>
      <c r="C928" s="3145"/>
      <c r="D928" s="3146"/>
      <c r="E928" s="2492" t="s">
        <v>1087</v>
      </c>
      <c r="F928" s="2487">
        <f>SUM(F929:F934)</f>
        <v>40715518</v>
      </c>
      <c r="G928" s="2487">
        <f>SUM(G929:G934)</f>
        <v>7228983</v>
      </c>
      <c r="H928" s="2487">
        <f>SUM(H929:H934)</f>
        <v>33486535</v>
      </c>
      <c r="I928" s="2487">
        <f>SUM(I929:I934)</f>
        <v>0</v>
      </c>
      <c r="J928" s="2488">
        <f>SUM(J929:J934)</f>
        <v>0</v>
      </c>
      <c r="K928" s="2482"/>
    </row>
    <row r="929" spans="1:226" s="2485" customFormat="1" ht="15" customHeight="1">
      <c r="A929" s="3140"/>
      <c r="B929" s="3149"/>
      <c r="C929" s="3145"/>
      <c r="D929" s="3146"/>
      <c r="E929" s="2489" t="s">
        <v>582</v>
      </c>
      <c r="F929" s="2490">
        <f t="shared" ref="F929:F934" si="91">SUM(G929:J929)</f>
        <v>1426956</v>
      </c>
      <c r="G929" s="2490">
        <f>607362+819594</f>
        <v>1426956</v>
      </c>
      <c r="H929" s="2490"/>
      <c r="I929" s="2490"/>
      <c r="J929" s="2491"/>
      <c r="K929" s="2482"/>
    </row>
    <row r="930" spans="1:226" s="2485" customFormat="1" ht="15" customHeight="1">
      <c r="A930" s="3140"/>
      <c r="B930" s="3149"/>
      <c r="C930" s="3145"/>
      <c r="D930" s="3146"/>
      <c r="E930" s="2489" t="s">
        <v>676</v>
      </c>
      <c r="F930" s="2490">
        <f t="shared" si="91"/>
        <v>32211535</v>
      </c>
      <c r="G930" s="2490"/>
      <c r="H930" s="2490">
        <f>29057472+3154063</f>
        <v>32211535</v>
      </c>
      <c r="I930" s="2490"/>
      <c r="J930" s="2491"/>
      <c r="K930" s="2482"/>
    </row>
    <row r="931" spans="1:226" s="2485" customFormat="1" ht="15" customHeight="1">
      <c r="A931" s="3140"/>
      <c r="B931" s="3149"/>
      <c r="C931" s="3145"/>
      <c r="D931" s="3146"/>
      <c r="E931" s="2489" t="s">
        <v>677</v>
      </c>
      <c r="F931" s="2490">
        <f t="shared" si="91"/>
        <v>5127790</v>
      </c>
      <c r="G931" s="2490">
        <v>5127790</v>
      </c>
      <c r="H931" s="2490"/>
      <c r="I931" s="2490"/>
      <c r="J931" s="2491"/>
      <c r="K931" s="2482"/>
    </row>
    <row r="932" spans="1:226" s="2485" customFormat="1" ht="15" customHeight="1">
      <c r="A932" s="3140"/>
      <c r="B932" s="3149"/>
      <c r="C932" s="3145"/>
      <c r="D932" s="3146"/>
      <c r="E932" s="2489" t="s">
        <v>576</v>
      </c>
      <c r="F932" s="2490">
        <f t="shared" si="91"/>
        <v>500000</v>
      </c>
      <c r="G932" s="2490">
        <v>500000</v>
      </c>
      <c r="H932" s="2490"/>
      <c r="I932" s="2490"/>
      <c r="J932" s="2491"/>
      <c r="K932" s="2482"/>
    </row>
    <row r="933" spans="1:226" s="2485" customFormat="1" ht="15" customHeight="1">
      <c r="A933" s="3140"/>
      <c r="B933" s="3149"/>
      <c r="C933" s="3145"/>
      <c r="D933" s="3146"/>
      <c r="E933" s="2489" t="s">
        <v>655</v>
      </c>
      <c r="F933" s="2490">
        <f t="shared" si="91"/>
        <v>1275000</v>
      </c>
      <c r="G933" s="2490"/>
      <c r="H933" s="2490">
        <v>1275000</v>
      </c>
      <c r="I933" s="2490"/>
      <c r="J933" s="2491"/>
      <c r="K933" s="2482"/>
    </row>
    <row r="934" spans="1:226" s="2485" customFormat="1" ht="15" customHeight="1">
      <c r="A934" s="3141"/>
      <c r="B934" s="3150"/>
      <c r="C934" s="3116"/>
      <c r="D934" s="3118"/>
      <c r="E934" s="2503">
        <v>6069</v>
      </c>
      <c r="F934" s="2490">
        <f t="shared" si="91"/>
        <v>174237</v>
      </c>
      <c r="G934" s="2490">
        <v>174237</v>
      </c>
      <c r="H934" s="2490"/>
      <c r="I934" s="2490"/>
      <c r="J934" s="2491"/>
      <c r="K934" s="2482"/>
    </row>
    <row r="935" spans="1:226" s="2485" customFormat="1" ht="22.5">
      <c r="A935" s="3112" t="s">
        <v>1120</v>
      </c>
      <c r="B935" s="3113" t="s">
        <v>1174</v>
      </c>
      <c r="C935" s="3114">
        <v>600</v>
      </c>
      <c r="D935" s="3134" t="s">
        <v>682</v>
      </c>
      <c r="E935" s="2479" t="s">
        <v>1086</v>
      </c>
      <c r="F935" s="2480">
        <f>SUM(F936,F943)</f>
        <v>8035053</v>
      </c>
      <c r="G935" s="2480">
        <f>SUM(G936,G943)</f>
        <v>1700530</v>
      </c>
      <c r="H935" s="2480">
        <f>SUM(H936,H943)</f>
        <v>6155253</v>
      </c>
      <c r="I935" s="2480">
        <f>SUM(I936,I943)</f>
        <v>0</v>
      </c>
      <c r="J935" s="2481">
        <f>SUM(J936,J943)</f>
        <v>179270</v>
      </c>
      <c r="K935" s="2482"/>
    </row>
    <row r="936" spans="1:226" s="2485" customFormat="1" ht="15" customHeight="1">
      <c r="A936" s="3112"/>
      <c r="B936" s="3113"/>
      <c r="C936" s="3114"/>
      <c r="D936" s="3134"/>
      <c r="E936" s="2486" t="s">
        <v>739</v>
      </c>
      <c r="F936" s="2487">
        <f>SUM(F937,F940)</f>
        <v>0</v>
      </c>
      <c r="G936" s="2487">
        <f>SUM(G937,G940)</f>
        <v>0</v>
      </c>
      <c r="H936" s="2487">
        <f>SUM(H937,H940)</f>
        <v>0</v>
      </c>
      <c r="I936" s="2487">
        <f>SUM(I937,I940)</f>
        <v>0</v>
      </c>
      <c r="J936" s="2488">
        <f>SUM(J937,J940)</f>
        <v>0</v>
      </c>
      <c r="K936" s="2482"/>
    </row>
    <row r="937" spans="1:226" s="2485" customFormat="1" ht="15" hidden="1" customHeight="1">
      <c r="A937" s="3112"/>
      <c r="B937" s="3113"/>
      <c r="C937" s="3114"/>
      <c r="D937" s="3134"/>
      <c r="E937" s="2497" t="s">
        <v>1093</v>
      </c>
      <c r="F937" s="2498">
        <f>SUM(F938:F939)</f>
        <v>0</v>
      </c>
      <c r="G937" s="2498">
        <f>SUM(G938:G939)</f>
        <v>0</v>
      </c>
      <c r="H937" s="2498">
        <f>SUM(H938:H939)</f>
        <v>0</v>
      </c>
      <c r="I937" s="2498">
        <f>SUM(I938:I939)</f>
        <v>0</v>
      </c>
      <c r="J937" s="2499">
        <f>SUM(J938:J939)</f>
        <v>0</v>
      </c>
      <c r="K937" s="2482"/>
    </row>
    <row r="938" spans="1:226" s="2485" customFormat="1" ht="15" hidden="1" customHeight="1">
      <c r="A938" s="3112"/>
      <c r="B938" s="3113"/>
      <c r="C938" s="3114"/>
      <c r="D938" s="3134"/>
      <c r="E938" s="2489"/>
      <c r="F938" s="2490">
        <f>SUM(G938:J938)</f>
        <v>0</v>
      </c>
      <c r="G938" s="2490"/>
      <c r="H938" s="2490"/>
      <c r="I938" s="2490"/>
      <c r="J938" s="2491"/>
      <c r="K938" s="2482"/>
    </row>
    <row r="939" spans="1:226" s="2485" customFormat="1" ht="15" hidden="1" customHeight="1">
      <c r="A939" s="3112"/>
      <c r="B939" s="3113"/>
      <c r="C939" s="3114"/>
      <c r="D939" s="3134"/>
      <c r="E939" s="2489"/>
      <c r="F939" s="2490">
        <f>SUM(G939:J939)</f>
        <v>0</v>
      </c>
      <c r="G939" s="2490"/>
      <c r="H939" s="2490"/>
      <c r="I939" s="2490"/>
      <c r="J939" s="2491"/>
      <c r="K939" s="2482"/>
      <c r="L939" s="2484"/>
      <c r="M939" s="2484"/>
      <c r="N939" s="2484"/>
      <c r="O939" s="2484"/>
      <c r="P939" s="2484"/>
      <c r="Q939" s="2484"/>
      <c r="R939" s="2484"/>
      <c r="S939" s="2484"/>
      <c r="T939" s="2484"/>
      <c r="U939" s="2484"/>
      <c r="V939" s="2484"/>
      <c r="W939" s="2484"/>
      <c r="X939" s="2484"/>
      <c r="Y939" s="2484"/>
      <c r="Z939" s="2484"/>
      <c r="AA939" s="2484"/>
      <c r="AB939" s="2484"/>
      <c r="AC939" s="2484"/>
      <c r="AD939" s="2484"/>
      <c r="AE939" s="2484"/>
      <c r="AF939" s="2484"/>
      <c r="AG939" s="2484"/>
      <c r="AH939" s="2484"/>
      <c r="AI939" s="2484"/>
      <c r="AJ939" s="2484"/>
      <c r="AK939" s="2484"/>
      <c r="AL939" s="2484"/>
      <c r="AM939" s="2484"/>
      <c r="AN939" s="2484"/>
      <c r="AO939" s="2484"/>
      <c r="AP939" s="2484"/>
      <c r="AQ939" s="2484"/>
      <c r="AR939" s="2484"/>
      <c r="AS939" s="2484"/>
      <c r="AT939" s="2484"/>
      <c r="AU939" s="2484"/>
      <c r="AV939" s="2484"/>
      <c r="AW939" s="2484"/>
      <c r="AX939" s="2484"/>
      <c r="AY939" s="2484"/>
      <c r="AZ939" s="2484"/>
      <c r="BA939" s="2484"/>
      <c r="BB939" s="2484"/>
      <c r="BC939" s="2484"/>
      <c r="BD939" s="2484"/>
      <c r="BE939" s="2484"/>
      <c r="BF939" s="2484"/>
      <c r="BG939" s="2484"/>
      <c r="BH939" s="2484"/>
      <c r="BI939" s="2484"/>
      <c r="BJ939" s="2484"/>
      <c r="BK939" s="2484"/>
      <c r="BL939" s="2484"/>
      <c r="BM939" s="2484"/>
      <c r="BN939" s="2484"/>
      <c r="BO939" s="2484"/>
      <c r="BP939" s="2484"/>
      <c r="BQ939" s="2484"/>
      <c r="BR939" s="2484"/>
      <c r="BS939" s="2484"/>
      <c r="BT939" s="2484"/>
      <c r="BU939" s="2484"/>
      <c r="BV939" s="2484"/>
      <c r="BW939" s="2484"/>
      <c r="BX939" s="2484"/>
      <c r="BY939" s="2484"/>
      <c r="BZ939" s="2484"/>
      <c r="CA939" s="2484"/>
      <c r="CB939" s="2484"/>
      <c r="CC939" s="2484"/>
      <c r="CD939" s="2484"/>
      <c r="CE939" s="2484"/>
      <c r="CF939" s="2484"/>
      <c r="CG939" s="2484"/>
      <c r="CH939" s="2484"/>
      <c r="CI939" s="2484"/>
      <c r="CJ939" s="2484"/>
      <c r="CK939" s="2484"/>
      <c r="CL939" s="2484"/>
      <c r="CM939" s="2484"/>
      <c r="CN939" s="2484"/>
      <c r="CO939" s="2484"/>
      <c r="CP939" s="2484"/>
      <c r="CQ939" s="2484"/>
      <c r="CR939" s="2484"/>
      <c r="CS939" s="2484"/>
      <c r="CT939" s="2484"/>
      <c r="CU939" s="2484"/>
      <c r="CV939" s="2484"/>
      <c r="CW939" s="2484"/>
      <c r="CX939" s="2484"/>
      <c r="CY939" s="2484"/>
      <c r="CZ939" s="2484"/>
      <c r="DA939" s="2484"/>
      <c r="DB939" s="2484"/>
      <c r="DC939" s="2484"/>
      <c r="DD939" s="2484"/>
      <c r="DE939" s="2484"/>
      <c r="DF939" s="2484"/>
      <c r="DG939" s="2484"/>
      <c r="DH939" s="2484"/>
      <c r="DI939" s="2484"/>
      <c r="DJ939" s="2484"/>
      <c r="DK939" s="2484"/>
      <c r="DL939" s="2484"/>
      <c r="DM939" s="2484"/>
      <c r="DN939" s="2484"/>
      <c r="DO939" s="2484"/>
      <c r="DP939" s="2484"/>
      <c r="DQ939" s="2484"/>
      <c r="DR939" s="2484"/>
      <c r="DS939" s="2484"/>
      <c r="DT939" s="2484"/>
      <c r="DU939" s="2484"/>
      <c r="DV939" s="2484"/>
      <c r="DW939" s="2484"/>
      <c r="DX939" s="2484"/>
      <c r="DY939" s="2484"/>
      <c r="DZ939" s="2484"/>
      <c r="EA939" s="2484"/>
      <c r="EB939" s="2484"/>
      <c r="EC939" s="2484"/>
      <c r="ED939" s="2484"/>
      <c r="EE939" s="2484"/>
      <c r="EF939" s="2484"/>
      <c r="EG939" s="2484"/>
      <c r="EH939" s="2484"/>
      <c r="EI939" s="2484"/>
      <c r="EJ939" s="2484"/>
      <c r="EK939" s="2484"/>
      <c r="EL939" s="2484"/>
      <c r="EM939" s="2484"/>
      <c r="EN939" s="2484"/>
      <c r="EO939" s="2484"/>
      <c r="EP939" s="2484"/>
      <c r="EQ939" s="2484"/>
      <c r="ER939" s="2484"/>
      <c r="ES939" s="2484"/>
      <c r="ET939" s="2484"/>
      <c r="EU939" s="2484"/>
      <c r="EV939" s="2484"/>
      <c r="EW939" s="2484"/>
      <c r="EX939" s="2484"/>
      <c r="EY939" s="2484"/>
      <c r="EZ939" s="2484"/>
      <c r="FA939" s="2484"/>
      <c r="FB939" s="2484"/>
      <c r="FC939" s="2484"/>
      <c r="FD939" s="2484"/>
      <c r="FE939" s="2484"/>
      <c r="FF939" s="2484"/>
      <c r="FG939" s="2484"/>
      <c r="FH939" s="2484"/>
      <c r="FI939" s="2484"/>
      <c r="FJ939" s="2484"/>
      <c r="FK939" s="2484"/>
      <c r="FL939" s="2484"/>
      <c r="FM939" s="2484"/>
      <c r="FN939" s="2484"/>
      <c r="FO939" s="2484"/>
      <c r="FP939" s="2484"/>
      <c r="FQ939" s="2484"/>
      <c r="FR939" s="2484"/>
      <c r="FS939" s="2484"/>
      <c r="FT939" s="2484"/>
      <c r="FU939" s="2484"/>
      <c r="FV939" s="2484"/>
      <c r="FW939" s="2484"/>
      <c r="FX939" s="2484"/>
      <c r="FY939" s="2484"/>
      <c r="FZ939" s="2484"/>
      <c r="GA939" s="2484"/>
      <c r="GB939" s="2484"/>
      <c r="GC939" s="2484"/>
      <c r="GD939" s="2484"/>
      <c r="GE939" s="2484"/>
      <c r="GF939" s="2484"/>
      <c r="GG939" s="2484"/>
      <c r="GH939" s="2484"/>
      <c r="GI939" s="2484"/>
      <c r="GJ939" s="2484"/>
      <c r="GK939" s="2484"/>
      <c r="GL939" s="2484"/>
      <c r="GM939" s="2484"/>
      <c r="GN939" s="2484"/>
      <c r="GO939" s="2484"/>
      <c r="GP939" s="2484"/>
      <c r="GQ939" s="2484"/>
      <c r="GR939" s="2484"/>
      <c r="GS939" s="2484"/>
      <c r="GT939" s="2484"/>
      <c r="GU939" s="2484"/>
      <c r="GV939" s="2484"/>
      <c r="GW939" s="2484"/>
      <c r="GX939" s="2484"/>
      <c r="GY939" s="2484"/>
      <c r="GZ939" s="2484"/>
      <c r="HA939" s="2484"/>
      <c r="HB939" s="2484"/>
      <c r="HC939" s="2484"/>
      <c r="HD939" s="2484"/>
      <c r="HE939" s="2484"/>
      <c r="HF939" s="2484"/>
      <c r="HG939" s="2484"/>
      <c r="HH939" s="2484"/>
      <c r="HI939" s="2484"/>
      <c r="HJ939" s="2484"/>
      <c r="HK939" s="2484"/>
      <c r="HL939" s="2484"/>
      <c r="HM939" s="2484"/>
      <c r="HN939" s="2484"/>
      <c r="HO939" s="2484"/>
      <c r="HP939" s="2484"/>
      <c r="HQ939" s="2484"/>
      <c r="HR939" s="2484"/>
    </row>
    <row r="940" spans="1:226" s="2485" customFormat="1" ht="15" hidden="1" customHeight="1">
      <c r="A940" s="3112"/>
      <c r="B940" s="3113"/>
      <c r="C940" s="3114"/>
      <c r="D940" s="3134"/>
      <c r="E940" s="2497" t="s">
        <v>1094</v>
      </c>
      <c r="F940" s="2498">
        <f>SUM(F941:F942)</f>
        <v>0</v>
      </c>
      <c r="G940" s="2498">
        <f>SUM(G941:G942)</f>
        <v>0</v>
      </c>
      <c r="H940" s="2498">
        <f>SUM(H941:H942)</f>
        <v>0</v>
      </c>
      <c r="I940" s="2498">
        <f>SUM(I941:I942)</f>
        <v>0</v>
      </c>
      <c r="J940" s="2499">
        <f>SUM(J941:J942)</f>
        <v>0</v>
      </c>
      <c r="K940" s="2482"/>
    </row>
    <row r="941" spans="1:226" s="2485" customFormat="1" ht="15" hidden="1" customHeight="1">
      <c r="A941" s="3112"/>
      <c r="B941" s="3113"/>
      <c r="C941" s="3114"/>
      <c r="D941" s="3134"/>
      <c r="E941" s="2489"/>
      <c r="F941" s="2490">
        <f>SUM(G941:J941)</f>
        <v>0</v>
      </c>
      <c r="G941" s="2490"/>
      <c r="H941" s="2490"/>
      <c r="I941" s="2490"/>
      <c r="J941" s="2491"/>
      <c r="K941" s="2482"/>
    </row>
    <row r="942" spans="1:226" s="2485" customFormat="1" ht="15" hidden="1" customHeight="1">
      <c r="A942" s="3112"/>
      <c r="B942" s="3113"/>
      <c r="C942" s="3114"/>
      <c r="D942" s="3134"/>
      <c r="E942" s="2489"/>
      <c r="F942" s="2490">
        <f>SUM(G942:J942)</f>
        <v>0</v>
      </c>
      <c r="G942" s="2490"/>
      <c r="H942" s="2490"/>
      <c r="I942" s="2490"/>
      <c r="J942" s="2491"/>
      <c r="K942" s="2482"/>
    </row>
    <row r="943" spans="1:226" s="2485" customFormat="1" ht="15" customHeight="1">
      <c r="A943" s="3112"/>
      <c r="B943" s="3113"/>
      <c r="C943" s="3114"/>
      <c r="D943" s="3134"/>
      <c r="E943" s="2492" t="s">
        <v>1087</v>
      </c>
      <c r="F943" s="2487">
        <f>SUM(F944:F949)</f>
        <v>8035053</v>
      </c>
      <c r="G943" s="2487">
        <f>SUM(G944:G949)</f>
        <v>1700530</v>
      </c>
      <c r="H943" s="2487">
        <f>SUM(H944:H949)</f>
        <v>6155253</v>
      </c>
      <c r="I943" s="2487">
        <f>SUM(I944:I949)</f>
        <v>0</v>
      </c>
      <c r="J943" s="2488">
        <f>SUM(J944:J949)</f>
        <v>179270</v>
      </c>
      <c r="K943" s="2482"/>
    </row>
    <row r="944" spans="1:226" s="2485" customFormat="1" ht="15" customHeight="1">
      <c r="A944" s="3112"/>
      <c r="B944" s="3113"/>
      <c r="C944" s="3114"/>
      <c r="D944" s="3134"/>
      <c r="E944" s="2489" t="s">
        <v>582</v>
      </c>
      <c r="F944" s="2490">
        <f t="shared" ref="F944:F949" si="92">SUM(G944:J944)</f>
        <v>793578</v>
      </c>
      <c r="G944" s="2490">
        <v>614308</v>
      </c>
      <c r="H944" s="2490"/>
      <c r="I944" s="2490"/>
      <c r="J944" s="2491">
        <v>179270</v>
      </c>
      <c r="K944" s="2482"/>
    </row>
    <row r="945" spans="1:226" s="2485" customFormat="1" ht="15" customHeight="1">
      <c r="A945" s="3112"/>
      <c r="B945" s="3113"/>
      <c r="C945" s="3114"/>
      <c r="D945" s="3134"/>
      <c r="E945" s="2489" t="s">
        <v>676</v>
      </c>
      <c r="F945" s="2490">
        <f t="shared" si="92"/>
        <v>5815253</v>
      </c>
      <c r="G945" s="2490"/>
      <c r="H945" s="2490">
        <v>5815253</v>
      </c>
      <c r="I945" s="2490"/>
      <c r="J945" s="2491"/>
      <c r="K945" s="2482"/>
    </row>
    <row r="946" spans="1:226" s="2485" customFormat="1" ht="15" customHeight="1">
      <c r="A946" s="3112"/>
      <c r="B946" s="3113"/>
      <c r="C946" s="3114"/>
      <c r="D946" s="3134"/>
      <c r="E946" s="2489" t="s">
        <v>677</v>
      </c>
      <c r="F946" s="2490">
        <f t="shared" si="92"/>
        <v>1026222</v>
      </c>
      <c r="G946" s="2490">
        <v>1026222</v>
      </c>
      <c r="H946" s="2490"/>
      <c r="I946" s="2490"/>
      <c r="J946" s="2491"/>
      <c r="K946" s="2482"/>
    </row>
    <row r="947" spans="1:226" s="2485" customFormat="1" ht="15" hidden="1" customHeight="1">
      <c r="A947" s="3112"/>
      <c r="B947" s="3113"/>
      <c r="C947" s="3114"/>
      <c r="D947" s="3134"/>
      <c r="E947" s="2489" t="s">
        <v>576</v>
      </c>
      <c r="F947" s="2490">
        <f t="shared" si="92"/>
        <v>0</v>
      </c>
      <c r="G947" s="2490"/>
      <c r="H947" s="2490"/>
      <c r="I947" s="2490"/>
      <c r="J947" s="2491"/>
      <c r="K947" s="2482"/>
    </row>
    <row r="948" spans="1:226" s="2485" customFormat="1" ht="15" customHeight="1">
      <c r="A948" s="3112"/>
      <c r="B948" s="3113"/>
      <c r="C948" s="3114"/>
      <c r="D948" s="3134"/>
      <c r="E948" s="2489" t="s">
        <v>655</v>
      </c>
      <c r="F948" s="2490">
        <f t="shared" si="92"/>
        <v>340000</v>
      </c>
      <c r="G948" s="2490"/>
      <c r="H948" s="2490">
        <v>340000</v>
      </c>
      <c r="I948" s="2490"/>
      <c r="J948" s="2491"/>
      <c r="K948" s="2482"/>
    </row>
    <row r="949" spans="1:226" s="2485" customFormat="1" ht="15" customHeight="1">
      <c r="A949" s="3112"/>
      <c r="B949" s="3113"/>
      <c r="C949" s="3114"/>
      <c r="D949" s="3134"/>
      <c r="E949" s="2503">
        <v>6069</v>
      </c>
      <c r="F949" s="2490">
        <f t="shared" si="92"/>
        <v>60000</v>
      </c>
      <c r="G949" s="2490">
        <v>60000</v>
      </c>
      <c r="H949" s="2490"/>
      <c r="I949" s="2490"/>
      <c r="J949" s="2491"/>
      <c r="K949" s="2482"/>
    </row>
    <row r="950" spans="1:226" s="2485" customFormat="1" ht="22.5">
      <c r="A950" s="3112" t="s">
        <v>1122</v>
      </c>
      <c r="B950" s="3113" t="s">
        <v>1175</v>
      </c>
      <c r="C950" s="3114">
        <v>600</v>
      </c>
      <c r="D950" s="3134" t="s">
        <v>682</v>
      </c>
      <c r="E950" s="2479" t="s">
        <v>1086</v>
      </c>
      <c r="F950" s="2480">
        <f>SUM(F951,F958)</f>
        <v>13376759</v>
      </c>
      <c r="G950" s="2480">
        <f>SUM(G951,G958)</f>
        <v>3380051</v>
      </c>
      <c r="H950" s="2480">
        <f>SUM(H951,H958)</f>
        <v>9996708</v>
      </c>
      <c r="I950" s="2480">
        <f>SUM(I951,I958)</f>
        <v>0</v>
      </c>
      <c r="J950" s="2481">
        <f>SUM(J951,J958)</f>
        <v>0</v>
      </c>
      <c r="K950" s="2482"/>
    </row>
    <row r="951" spans="1:226" s="2485" customFormat="1" ht="15" customHeight="1">
      <c r="A951" s="3112"/>
      <c r="B951" s="3113"/>
      <c r="C951" s="3114"/>
      <c r="D951" s="3134"/>
      <c r="E951" s="2486" t="s">
        <v>739</v>
      </c>
      <c r="F951" s="2487">
        <f>SUM(F952,F955)</f>
        <v>0</v>
      </c>
      <c r="G951" s="2487">
        <f>SUM(G952,G955)</f>
        <v>0</v>
      </c>
      <c r="H951" s="2487">
        <f>SUM(H952,H955)</f>
        <v>0</v>
      </c>
      <c r="I951" s="2487">
        <f>SUM(I952,I955)</f>
        <v>0</v>
      </c>
      <c r="J951" s="2488">
        <f>SUM(J952,J955)</f>
        <v>0</v>
      </c>
      <c r="K951" s="2482"/>
    </row>
    <row r="952" spans="1:226" s="2485" customFormat="1" ht="15" hidden="1" customHeight="1">
      <c r="A952" s="3112"/>
      <c r="B952" s="3113"/>
      <c r="C952" s="3114"/>
      <c r="D952" s="3134"/>
      <c r="E952" s="2497" t="s">
        <v>1093</v>
      </c>
      <c r="F952" s="2498">
        <f>SUM(F953:F954)</f>
        <v>0</v>
      </c>
      <c r="G952" s="2498">
        <f>SUM(G953:G954)</f>
        <v>0</v>
      </c>
      <c r="H952" s="2498">
        <f>SUM(H953:H954)</f>
        <v>0</v>
      </c>
      <c r="I952" s="2498">
        <f>SUM(I953:I954)</f>
        <v>0</v>
      </c>
      <c r="J952" s="2499">
        <f>SUM(J953:J954)</f>
        <v>0</v>
      </c>
      <c r="K952" s="2482"/>
    </row>
    <row r="953" spans="1:226" s="2485" customFormat="1" ht="15" hidden="1" customHeight="1">
      <c r="A953" s="3112"/>
      <c r="B953" s="3113"/>
      <c r="C953" s="3114"/>
      <c r="D953" s="3134"/>
      <c r="E953" s="2489"/>
      <c r="F953" s="2490">
        <f>SUM(G953:J953)</f>
        <v>0</v>
      </c>
      <c r="G953" s="2490"/>
      <c r="H953" s="2490"/>
      <c r="I953" s="2490"/>
      <c r="J953" s="2491"/>
      <c r="K953" s="2482"/>
    </row>
    <row r="954" spans="1:226" s="2485" customFormat="1" ht="15" hidden="1" customHeight="1">
      <c r="A954" s="3112"/>
      <c r="B954" s="3113"/>
      <c r="C954" s="3114"/>
      <c r="D954" s="3134"/>
      <c r="E954" s="2489"/>
      <c r="F954" s="2490">
        <f>SUM(G954:J954)</f>
        <v>0</v>
      </c>
      <c r="G954" s="2490"/>
      <c r="H954" s="2490"/>
      <c r="I954" s="2490"/>
      <c r="J954" s="2491"/>
      <c r="K954" s="2482"/>
    </row>
    <row r="955" spans="1:226" s="2485" customFormat="1" ht="15" hidden="1" customHeight="1">
      <c r="A955" s="3112"/>
      <c r="B955" s="3113"/>
      <c r="C955" s="3114"/>
      <c r="D955" s="3134"/>
      <c r="E955" s="2497" t="s">
        <v>1094</v>
      </c>
      <c r="F955" s="2498">
        <f>SUM(F956:F957)</f>
        <v>0</v>
      </c>
      <c r="G955" s="2498">
        <f>SUM(G956:G957)</f>
        <v>0</v>
      </c>
      <c r="H955" s="2498">
        <f>SUM(H956:H957)</f>
        <v>0</v>
      </c>
      <c r="I955" s="2498">
        <f>SUM(I956:I957)</f>
        <v>0</v>
      </c>
      <c r="J955" s="2499">
        <f>SUM(J956:J957)</f>
        <v>0</v>
      </c>
      <c r="K955" s="2482"/>
    </row>
    <row r="956" spans="1:226" s="2485" customFormat="1" ht="15" hidden="1" customHeight="1">
      <c r="A956" s="3112"/>
      <c r="B956" s="3113"/>
      <c r="C956" s="3114"/>
      <c r="D956" s="3134"/>
      <c r="E956" s="2489"/>
      <c r="F956" s="2490">
        <f>SUM(G956:J956)</f>
        <v>0</v>
      </c>
      <c r="G956" s="2490"/>
      <c r="H956" s="2490"/>
      <c r="I956" s="2490"/>
      <c r="J956" s="2491"/>
      <c r="K956" s="2482"/>
    </row>
    <row r="957" spans="1:226" s="2485" customFormat="1" ht="15" hidden="1" customHeight="1">
      <c r="A957" s="3112"/>
      <c r="B957" s="3113"/>
      <c r="C957" s="3114"/>
      <c r="D957" s="3134"/>
      <c r="E957" s="2489"/>
      <c r="F957" s="2490">
        <f>SUM(G957:J957)</f>
        <v>0</v>
      </c>
      <c r="G957" s="2490"/>
      <c r="H957" s="2490"/>
      <c r="I957" s="2490"/>
      <c r="J957" s="2491"/>
      <c r="K957" s="2482"/>
    </row>
    <row r="958" spans="1:226" s="2485" customFormat="1" ht="15" customHeight="1">
      <c r="A958" s="3112"/>
      <c r="B958" s="3113"/>
      <c r="C958" s="3114"/>
      <c r="D958" s="3134"/>
      <c r="E958" s="2492" t="s">
        <v>1087</v>
      </c>
      <c r="F958" s="2487">
        <f>SUM(F959:F964)</f>
        <v>13376759</v>
      </c>
      <c r="G958" s="2487">
        <f>SUM(G959:G964)</f>
        <v>3380051</v>
      </c>
      <c r="H958" s="2487">
        <f>SUM(H959:H964)</f>
        <v>9996708</v>
      </c>
      <c r="I958" s="2487">
        <f>SUM(I959:I964)</f>
        <v>0</v>
      </c>
      <c r="J958" s="2488">
        <f>SUM(J959:J964)</f>
        <v>0</v>
      </c>
      <c r="K958" s="2482"/>
      <c r="L958" s="2484"/>
      <c r="M958" s="2484"/>
      <c r="N958" s="2484"/>
      <c r="O958" s="2484"/>
      <c r="P958" s="2484"/>
      <c r="Q958" s="2484"/>
      <c r="R958" s="2484"/>
      <c r="S958" s="2484"/>
      <c r="T958" s="2484"/>
      <c r="U958" s="2484"/>
      <c r="V958" s="2484"/>
      <c r="W958" s="2484"/>
      <c r="X958" s="2484"/>
      <c r="Y958" s="2484"/>
      <c r="Z958" s="2484"/>
      <c r="AA958" s="2484"/>
      <c r="AB958" s="2484"/>
      <c r="AC958" s="2484"/>
      <c r="AD958" s="2484"/>
      <c r="AE958" s="2484"/>
      <c r="AF958" s="2484"/>
      <c r="AG958" s="2484"/>
      <c r="AH958" s="2484"/>
      <c r="AI958" s="2484"/>
      <c r="AJ958" s="2484"/>
      <c r="AK958" s="2484"/>
      <c r="AL958" s="2484"/>
      <c r="AM958" s="2484"/>
      <c r="AN958" s="2484"/>
      <c r="AO958" s="2484"/>
      <c r="AP958" s="2484"/>
      <c r="AQ958" s="2484"/>
      <c r="AR958" s="2484"/>
      <c r="AS958" s="2484"/>
      <c r="AT958" s="2484"/>
      <c r="AU958" s="2484"/>
      <c r="AV958" s="2484"/>
      <c r="AW958" s="2484"/>
      <c r="AX958" s="2484"/>
      <c r="AY958" s="2484"/>
      <c r="AZ958" s="2484"/>
      <c r="BA958" s="2484"/>
      <c r="BB958" s="2484"/>
      <c r="BC958" s="2484"/>
      <c r="BD958" s="2484"/>
      <c r="BE958" s="2484"/>
      <c r="BF958" s="2484"/>
      <c r="BG958" s="2484"/>
      <c r="BH958" s="2484"/>
      <c r="BI958" s="2484"/>
      <c r="BJ958" s="2484"/>
      <c r="BK958" s="2484"/>
      <c r="BL958" s="2484"/>
      <c r="BM958" s="2484"/>
      <c r="BN958" s="2484"/>
      <c r="BO958" s="2484"/>
      <c r="BP958" s="2484"/>
      <c r="BQ958" s="2484"/>
      <c r="BR958" s="2484"/>
      <c r="BS958" s="2484"/>
      <c r="BT958" s="2484"/>
      <c r="BU958" s="2484"/>
      <c r="BV958" s="2484"/>
      <c r="BW958" s="2484"/>
      <c r="BX958" s="2484"/>
      <c r="BY958" s="2484"/>
      <c r="BZ958" s="2484"/>
      <c r="CA958" s="2484"/>
      <c r="CB958" s="2484"/>
      <c r="CC958" s="2484"/>
      <c r="CD958" s="2484"/>
      <c r="CE958" s="2484"/>
      <c r="CF958" s="2484"/>
      <c r="CG958" s="2484"/>
      <c r="CH958" s="2484"/>
      <c r="CI958" s="2484"/>
      <c r="CJ958" s="2484"/>
      <c r="CK958" s="2484"/>
      <c r="CL958" s="2484"/>
      <c r="CM958" s="2484"/>
      <c r="CN958" s="2484"/>
      <c r="CO958" s="2484"/>
      <c r="CP958" s="2484"/>
      <c r="CQ958" s="2484"/>
      <c r="CR958" s="2484"/>
      <c r="CS958" s="2484"/>
      <c r="CT958" s="2484"/>
      <c r="CU958" s="2484"/>
      <c r="CV958" s="2484"/>
      <c r="CW958" s="2484"/>
      <c r="CX958" s="2484"/>
      <c r="CY958" s="2484"/>
      <c r="CZ958" s="2484"/>
      <c r="DA958" s="2484"/>
      <c r="DB958" s="2484"/>
      <c r="DC958" s="2484"/>
      <c r="DD958" s="2484"/>
      <c r="DE958" s="2484"/>
      <c r="DF958" s="2484"/>
      <c r="DG958" s="2484"/>
      <c r="DH958" s="2484"/>
      <c r="DI958" s="2484"/>
      <c r="DJ958" s="2484"/>
      <c r="DK958" s="2484"/>
      <c r="DL958" s="2484"/>
      <c r="DM958" s="2484"/>
      <c r="DN958" s="2484"/>
      <c r="DO958" s="2484"/>
      <c r="DP958" s="2484"/>
      <c r="DQ958" s="2484"/>
      <c r="DR958" s="2484"/>
      <c r="DS958" s="2484"/>
      <c r="DT958" s="2484"/>
      <c r="DU958" s="2484"/>
      <c r="DV958" s="2484"/>
      <c r="DW958" s="2484"/>
      <c r="DX958" s="2484"/>
      <c r="DY958" s="2484"/>
      <c r="DZ958" s="2484"/>
      <c r="EA958" s="2484"/>
      <c r="EB958" s="2484"/>
      <c r="EC958" s="2484"/>
      <c r="ED958" s="2484"/>
      <c r="EE958" s="2484"/>
      <c r="EF958" s="2484"/>
      <c r="EG958" s="2484"/>
      <c r="EH958" s="2484"/>
      <c r="EI958" s="2484"/>
      <c r="EJ958" s="2484"/>
      <c r="EK958" s="2484"/>
      <c r="EL958" s="2484"/>
      <c r="EM958" s="2484"/>
      <c r="EN958" s="2484"/>
      <c r="EO958" s="2484"/>
      <c r="EP958" s="2484"/>
      <c r="EQ958" s="2484"/>
      <c r="ER958" s="2484"/>
      <c r="ES958" s="2484"/>
      <c r="ET958" s="2484"/>
      <c r="EU958" s="2484"/>
      <c r="EV958" s="2484"/>
      <c r="EW958" s="2484"/>
      <c r="EX958" s="2484"/>
      <c r="EY958" s="2484"/>
      <c r="EZ958" s="2484"/>
      <c r="FA958" s="2484"/>
      <c r="FB958" s="2484"/>
      <c r="FC958" s="2484"/>
      <c r="FD958" s="2484"/>
      <c r="FE958" s="2484"/>
      <c r="FF958" s="2484"/>
      <c r="FG958" s="2484"/>
      <c r="FH958" s="2484"/>
      <c r="FI958" s="2484"/>
      <c r="FJ958" s="2484"/>
      <c r="FK958" s="2484"/>
      <c r="FL958" s="2484"/>
      <c r="FM958" s="2484"/>
      <c r="FN958" s="2484"/>
      <c r="FO958" s="2484"/>
      <c r="FP958" s="2484"/>
      <c r="FQ958" s="2484"/>
      <c r="FR958" s="2484"/>
      <c r="FS958" s="2484"/>
      <c r="FT958" s="2484"/>
      <c r="FU958" s="2484"/>
      <c r="FV958" s="2484"/>
      <c r="FW958" s="2484"/>
      <c r="FX958" s="2484"/>
      <c r="FY958" s="2484"/>
      <c r="FZ958" s="2484"/>
      <c r="GA958" s="2484"/>
      <c r="GB958" s="2484"/>
      <c r="GC958" s="2484"/>
      <c r="GD958" s="2484"/>
      <c r="GE958" s="2484"/>
      <c r="GF958" s="2484"/>
      <c r="GG958" s="2484"/>
      <c r="GH958" s="2484"/>
      <c r="GI958" s="2484"/>
      <c r="GJ958" s="2484"/>
      <c r="GK958" s="2484"/>
      <c r="GL958" s="2484"/>
      <c r="GM958" s="2484"/>
      <c r="GN958" s="2484"/>
      <c r="GO958" s="2484"/>
      <c r="GP958" s="2484"/>
      <c r="GQ958" s="2484"/>
      <c r="GR958" s="2484"/>
      <c r="GS958" s="2484"/>
      <c r="GT958" s="2484"/>
      <c r="GU958" s="2484"/>
      <c r="GV958" s="2484"/>
      <c r="GW958" s="2484"/>
      <c r="GX958" s="2484"/>
      <c r="GY958" s="2484"/>
      <c r="GZ958" s="2484"/>
      <c r="HA958" s="2484"/>
      <c r="HB958" s="2484"/>
      <c r="HC958" s="2484"/>
      <c r="HD958" s="2484"/>
      <c r="HE958" s="2484"/>
      <c r="HF958" s="2484"/>
      <c r="HG958" s="2484"/>
      <c r="HH958" s="2484"/>
      <c r="HI958" s="2484"/>
      <c r="HJ958" s="2484"/>
      <c r="HK958" s="2484"/>
      <c r="HL958" s="2484"/>
      <c r="HM958" s="2484"/>
      <c r="HN958" s="2484"/>
      <c r="HO958" s="2484"/>
      <c r="HP958" s="2484"/>
      <c r="HQ958" s="2484"/>
      <c r="HR958" s="2484"/>
    </row>
    <row r="959" spans="1:226" s="2485" customFormat="1" ht="15" customHeight="1">
      <c r="A959" s="3112"/>
      <c r="B959" s="3113"/>
      <c r="C959" s="3114"/>
      <c r="D959" s="3134"/>
      <c r="E959" s="2489" t="s">
        <v>582</v>
      </c>
      <c r="F959" s="2490">
        <f t="shared" ref="F959:F964" si="93">SUM(G959:J959)</f>
        <v>186088</v>
      </c>
      <c r="G959" s="2490">
        <v>186088</v>
      </c>
      <c r="H959" s="2490"/>
      <c r="I959" s="2490"/>
      <c r="J959" s="2491"/>
      <c r="K959" s="2482"/>
    </row>
    <row r="960" spans="1:226" s="2485" customFormat="1" ht="15" customHeight="1">
      <c r="A960" s="3112"/>
      <c r="B960" s="3113"/>
      <c r="C960" s="3114"/>
      <c r="D960" s="3134"/>
      <c r="E960" s="2503">
        <v>6057</v>
      </c>
      <c r="F960" s="2490">
        <f t="shared" si="93"/>
        <v>9087069</v>
      </c>
      <c r="G960" s="2490"/>
      <c r="H960" s="2490">
        <v>9087069</v>
      </c>
      <c r="I960" s="2490"/>
      <c r="J960" s="2491"/>
      <c r="K960" s="2482"/>
    </row>
    <row r="961" spans="1:226" s="2485" customFormat="1" ht="15" customHeight="1">
      <c r="A961" s="3112"/>
      <c r="B961" s="3113"/>
      <c r="C961" s="3114"/>
      <c r="D961" s="3134"/>
      <c r="E961" s="2503">
        <v>6059</v>
      </c>
      <c r="F961" s="2490">
        <f t="shared" si="93"/>
        <v>1603601</v>
      </c>
      <c r="G961" s="2490">
        <v>1603601</v>
      </c>
      <c r="H961" s="2490"/>
      <c r="I961" s="2490"/>
      <c r="J961" s="2491"/>
      <c r="K961" s="2482"/>
    </row>
    <row r="962" spans="1:226" s="2485" customFormat="1" ht="15" customHeight="1">
      <c r="A962" s="3112"/>
      <c r="B962" s="3113"/>
      <c r="C962" s="3114"/>
      <c r="D962" s="3134"/>
      <c r="E962" s="2503">
        <v>6060</v>
      </c>
      <c r="F962" s="2490">
        <f t="shared" si="93"/>
        <v>1429837</v>
      </c>
      <c r="G962" s="2490">
        <v>1429837</v>
      </c>
      <c r="H962" s="2490"/>
      <c r="I962" s="2490"/>
      <c r="J962" s="2491"/>
      <c r="K962" s="2482"/>
      <c r="M962" s="2526"/>
    </row>
    <row r="963" spans="1:226" s="2485" customFormat="1" ht="15" customHeight="1">
      <c r="A963" s="3112"/>
      <c r="B963" s="3113"/>
      <c r="C963" s="3114"/>
      <c r="D963" s="3134"/>
      <c r="E963" s="2489" t="s">
        <v>655</v>
      </c>
      <c r="F963" s="2490">
        <f t="shared" si="93"/>
        <v>909639</v>
      </c>
      <c r="G963" s="2490"/>
      <c r="H963" s="2490">
        <v>909639</v>
      </c>
      <c r="I963" s="2490"/>
      <c r="J963" s="2491"/>
      <c r="K963" s="2482"/>
    </row>
    <row r="964" spans="1:226" s="2485" customFormat="1" ht="15" customHeight="1">
      <c r="A964" s="3112"/>
      <c r="B964" s="3113"/>
      <c r="C964" s="3114"/>
      <c r="D964" s="3134"/>
      <c r="E964" s="2503">
        <v>6069</v>
      </c>
      <c r="F964" s="2490">
        <f t="shared" si="93"/>
        <v>160525</v>
      </c>
      <c r="G964" s="2490">
        <v>160525</v>
      </c>
      <c r="H964" s="2490"/>
      <c r="I964" s="2490"/>
      <c r="J964" s="2491"/>
      <c r="K964" s="2482"/>
    </row>
    <row r="965" spans="1:226" s="2485" customFormat="1" ht="22.5">
      <c r="A965" s="3112" t="s">
        <v>1128</v>
      </c>
      <c r="B965" s="3113" t="s">
        <v>1176</v>
      </c>
      <c r="C965" s="3114">
        <v>600</v>
      </c>
      <c r="D965" s="3134" t="s">
        <v>682</v>
      </c>
      <c r="E965" s="2479" t="s">
        <v>1086</v>
      </c>
      <c r="F965" s="2480">
        <f>SUM(F966,F973)</f>
        <v>8324314</v>
      </c>
      <c r="G965" s="2480">
        <f>SUM(G966,G973)</f>
        <v>2229406</v>
      </c>
      <c r="H965" s="2480">
        <f>SUM(H966,H973)</f>
        <v>6094908</v>
      </c>
      <c r="I965" s="2480">
        <f>SUM(I966,I973)</f>
        <v>0</v>
      </c>
      <c r="J965" s="2481">
        <f>SUM(J966,J973)</f>
        <v>0</v>
      </c>
      <c r="K965" s="2482"/>
    </row>
    <row r="966" spans="1:226" s="2485" customFormat="1" ht="15" customHeight="1">
      <c r="A966" s="3112"/>
      <c r="B966" s="3113"/>
      <c r="C966" s="3114"/>
      <c r="D966" s="3134"/>
      <c r="E966" s="2486" t="s">
        <v>739</v>
      </c>
      <c r="F966" s="2487">
        <f>SUM(F967,F970)</f>
        <v>0</v>
      </c>
      <c r="G966" s="2487">
        <f>SUM(G967,G970)</f>
        <v>0</v>
      </c>
      <c r="H966" s="2487">
        <f>SUM(H967,H970)</f>
        <v>0</v>
      </c>
      <c r="I966" s="2487">
        <f>SUM(I967,I970)</f>
        <v>0</v>
      </c>
      <c r="J966" s="2488">
        <f>SUM(J967,J970)</f>
        <v>0</v>
      </c>
      <c r="K966" s="2482"/>
    </row>
    <row r="967" spans="1:226" s="2485" customFormat="1" ht="15" hidden="1" customHeight="1">
      <c r="A967" s="3112"/>
      <c r="B967" s="3113"/>
      <c r="C967" s="3114"/>
      <c r="D967" s="3134"/>
      <c r="E967" s="2497" t="s">
        <v>1093</v>
      </c>
      <c r="F967" s="2498">
        <f>SUM(F968:F969)</f>
        <v>0</v>
      </c>
      <c r="G967" s="2498">
        <f>SUM(G968:G969)</f>
        <v>0</v>
      </c>
      <c r="H967" s="2498">
        <f>SUM(H968:H969)</f>
        <v>0</v>
      </c>
      <c r="I967" s="2498">
        <f>SUM(I968:I969)</f>
        <v>0</v>
      </c>
      <c r="J967" s="2499">
        <f>SUM(J968:J969)</f>
        <v>0</v>
      </c>
      <c r="K967" s="2482"/>
    </row>
    <row r="968" spans="1:226" s="2485" customFormat="1" ht="15" hidden="1" customHeight="1">
      <c r="A968" s="3112"/>
      <c r="B968" s="3113"/>
      <c r="C968" s="3114"/>
      <c r="D968" s="3134"/>
      <c r="E968" s="2489"/>
      <c r="F968" s="2490">
        <f>SUM(G968:J968)</f>
        <v>0</v>
      </c>
      <c r="G968" s="2490"/>
      <c r="H968" s="2490"/>
      <c r="I968" s="2490"/>
      <c r="J968" s="2491"/>
      <c r="K968" s="2482"/>
    </row>
    <row r="969" spans="1:226" s="2485" customFormat="1" ht="15" hidden="1" customHeight="1">
      <c r="A969" s="3112"/>
      <c r="B969" s="3113"/>
      <c r="C969" s="3114"/>
      <c r="D969" s="3134"/>
      <c r="E969" s="2489"/>
      <c r="F969" s="2490">
        <f>SUM(G969:J969)</f>
        <v>0</v>
      </c>
      <c r="G969" s="2490"/>
      <c r="H969" s="2490"/>
      <c r="I969" s="2490"/>
      <c r="J969" s="2491"/>
      <c r="K969" s="2482"/>
    </row>
    <row r="970" spans="1:226" s="2485" customFormat="1" ht="15" hidden="1" customHeight="1">
      <c r="A970" s="3112"/>
      <c r="B970" s="3113"/>
      <c r="C970" s="3114"/>
      <c r="D970" s="3134"/>
      <c r="E970" s="2497" t="s">
        <v>1094</v>
      </c>
      <c r="F970" s="2498">
        <f>SUM(F971:F972)</f>
        <v>0</v>
      </c>
      <c r="G970" s="2498">
        <f>SUM(G971:G972)</f>
        <v>0</v>
      </c>
      <c r="H970" s="2498">
        <f>SUM(H971:H972)</f>
        <v>0</v>
      </c>
      <c r="I970" s="2498">
        <f>SUM(I971:I972)</f>
        <v>0</v>
      </c>
      <c r="J970" s="2499">
        <f>SUM(J971:J972)</f>
        <v>0</v>
      </c>
      <c r="K970" s="2482"/>
    </row>
    <row r="971" spans="1:226" s="2485" customFormat="1" ht="15" hidden="1" customHeight="1">
      <c r="A971" s="3112"/>
      <c r="B971" s="3113"/>
      <c r="C971" s="3114"/>
      <c r="D971" s="3134"/>
      <c r="E971" s="2489"/>
      <c r="F971" s="2490">
        <f>SUM(G971:J971)</f>
        <v>0</v>
      </c>
      <c r="G971" s="2490"/>
      <c r="H971" s="2490"/>
      <c r="I971" s="2490"/>
      <c r="J971" s="2491"/>
      <c r="K971" s="2482"/>
    </row>
    <row r="972" spans="1:226" s="2485" customFormat="1" ht="15" hidden="1" customHeight="1">
      <c r="A972" s="3112"/>
      <c r="B972" s="3113"/>
      <c r="C972" s="3114"/>
      <c r="D972" s="3134"/>
      <c r="E972" s="2489"/>
      <c r="F972" s="2490">
        <f>SUM(G972:J972)</f>
        <v>0</v>
      </c>
      <c r="G972" s="2490"/>
      <c r="H972" s="2490"/>
      <c r="I972" s="2490"/>
      <c r="J972" s="2491"/>
      <c r="K972" s="2482"/>
    </row>
    <row r="973" spans="1:226" s="2485" customFormat="1" ht="15" customHeight="1">
      <c r="A973" s="3112"/>
      <c r="B973" s="3113"/>
      <c r="C973" s="3114"/>
      <c r="D973" s="3134"/>
      <c r="E973" s="2492" t="s">
        <v>1087</v>
      </c>
      <c r="F973" s="2487">
        <f>SUM(F974:F979)</f>
        <v>8324314</v>
      </c>
      <c r="G973" s="2487">
        <f>SUM(G974:G979)</f>
        <v>2229406</v>
      </c>
      <c r="H973" s="2487">
        <f>SUM(H974:H979)</f>
        <v>6094908</v>
      </c>
      <c r="I973" s="2487">
        <f>SUM(I974:I979)</f>
        <v>0</v>
      </c>
      <c r="J973" s="2488">
        <f>SUM(J974:J979)</f>
        <v>0</v>
      </c>
      <c r="K973" s="2482"/>
      <c r="L973" s="2484"/>
      <c r="M973" s="2484"/>
      <c r="N973" s="2484"/>
      <c r="O973" s="2484"/>
      <c r="P973" s="2484"/>
      <c r="Q973" s="2484"/>
      <c r="R973" s="2484"/>
      <c r="S973" s="2484"/>
      <c r="T973" s="2484"/>
      <c r="U973" s="2484"/>
      <c r="V973" s="2484"/>
      <c r="W973" s="2484"/>
      <c r="X973" s="2484"/>
      <c r="Y973" s="2484"/>
      <c r="Z973" s="2484"/>
      <c r="AA973" s="2484"/>
      <c r="AB973" s="2484"/>
      <c r="AC973" s="2484"/>
      <c r="AD973" s="2484"/>
      <c r="AE973" s="2484"/>
      <c r="AF973" s="2484"/>
      <c r="AG973" s="2484"/>
      <c r="AH973" s="2484"/>
      <c r="AI973" s="2484"/>
      <c r="AJ973" s="2484"/>
      <c r="AK973" s="2484"/>
      <c r="AL973" s="2484"/>
      <c r="AM973" s="2484"/>
      <c r="AN973" s="2484"/>
      <c r="AO973" s="2484"/>
      <c r="AP973" s="2484"/>
      <c r="AQ973" s="2484"/>
      <c r="AR973" s="2484"/>
      <c r="AS973" s="2484"/>
      <c r="AT973" s="2484"/>
      <c r="AU973" s="2484"/>
      <c r="AV973" s="2484"/>
      <c r="AW973" s="2484"/>
      <c r="AX973" s="2484"/>
      <c r="AY973" s="2484"/>
      <c r="AZ973" s="2484"/>
      <c r="BA973" s="2484"/>
      <c r="BB973" s="2484"/>
      <c r="BC973" s="2484"/>
      <c r="BD973" s="2484"/>
      <c r="BE973" s="2484"/>
      <c r="BF973" s="2484"/>
      <c r="BG973" s="2484"/>
      <c r="BH973" s="2484"/>
      <c r="BI973" s="2484"/>
      <c r="BJ973" s="2484"/>
      <c r="BK973" s="2484"/>
      <c r="BL973" s="2484"/>
      <c r="BM973" s="2484"/>
      <c r="BN973" s="2484"/>
      <c r="BO973" s="2484"/>
      <c r="BP973" s="2484"/>
      <c r="BQ973" s="2484"/>
      <c r="BR973" s="2484"/>
      <c r="BS973" s="2484"/>
      <c r="BT973" s="2484"/>
      <c r="BU973" s="2484"/>
      <c r="BV973" s="2484"/>
      <c r="BW973" s="2484"/>
      <c r="BX973" s="2484"/>
      <c r="BY973" s="2484"/>
      <c r="BZ973" s="2484"/>
      <c r="CA973" s="2484"/>
      <c r="CB973" s="2484"/>
      <c r="CC973" s="2484"/>
      <c r="CD973" s="2484"/>
      <c r="CE973" s="2484"/>
      <c r="CF973" s="2484"/>
      <c r="CG973" s="2484"/>
      <c r="CH973" s="2484"/>
      <c r="CI973" s="2484"/>
      <c r="CJ973" s="2484"/>
      <c r="CK973" s="2484"/>
      <c r="CL973" s="2484"/>
      <c r="CM973" s="2484"/>
      <c r="CN973" s="2484"/>
      <c r="CO973" s="2484"/>
      <c r="CP973" s="2484"/>
      <c r="CQ973" s="2484"/>
      <c r="CR973" s="2484"/>
      <c r="CS973" s="2484"/>
      <c r="CT973" s="2484"/>
      <c r="CU973" s="2484"/>
      <c r="CV973" s="2484"/>
      <c r="CW973" s="2484"/>
      <c r="CX973" s="2484"/>
      <c r="CY973" s="2484"/>
      <c r="CZ973" s="2484"/>
      <c r="DA973" s="2484"/>
      <c r="DB973" s="2484"/>
      <c r="DC973" s="2484"/>
      <c r="DD973" s="2484"/>
      <c r="DE973" s="2484"/>
      <c r="DF973" s="2484"/>
      <c r="DG973" s="2484"/>
      <c r="DH973" s="2484"/>
      <c r="DI973" s="2484"/>
      <c r="DJ973" s="2484"/>
      <c r="DK973" s="2484"/>
      <c r="DL973" s="2484"/>
      <c r="DM973" s="2484"/>
      <c r="DN973" s="2484"/>
      <c r="DO973" s="2484"/>
      <c r="DP973" s="2484"/>
      <c r="DQ973" s="2484"/>
      <c r="DR973" s="2484"/>
      <c r="DS973" s="2484"/>
      <c r="DT973" s="2484"/>
      <c r="DU973" s="2484"/>
      <c r="DV973" s="2484"/>
      <c r="DW973" s="2484"/>
      <c r="DX973" s="2484"/>
      <c r="DY973" s="2484"/>
      <c r="DZ973" s="2484"/>
      <c r="EA973" s="2484"/>
      <c r="EB973" s="2484"/>
      <c r="EC973" s="2484"/>
      <c r="ED973" s="2484"/>
      <c r="EE973" s="2484"/>
      <c r="EF973" s="2484"/>
      <c r="EG973" s="2484"/>
      <c r="EH973" s="2484"/>
      <c r="EI973" s="2484"/>
      <c r="EJ973" s="2484"/>
      <c r="EK973" s="2484"/>
      <c r="EL973" s="2484"/>
      <c r="EM973" s="2484"/>
      <c r="EN973" s="2484"/>
      <c r="EO973" s="2484"/>
      <c r="EP973" s="2484"/>
      <c r="EQ973" s="2484"/>
      <c r="ER973" s="2484"/>
      <c r="ES973" s="2484"/>
      <c r="ET973" s="2484"/>
      <c r="EU973" s="2484"/>
      <c r="EV973" s="2484"/>
      <c r="EW973" s="2484"/>
      <c r="EX973" s="2484"/>
      <c r="EY973" s="2484"/>
      <c r="EZ973" s="2484"/>
      <c r="FA973" s="2484"/>
      <c r="FB973" s="2484"/>
      <c r="FC973" s="2484"/>
      <c r="FD973" s="2484"/>
      <c r="FE973" s="2484"/>
      <c r="FF973" s="2484"/>
      <c r="FG973" s="2484"/>
      <c r="FH973" s="2484"/>
      <c r="FI973" s="2484"/>
      <c r="FJ973" s="2484"/>
      <c r="FK973" s="2484"/>
      <c r="FL973" s="2484"/>
      <c r="FM973" s="2484"/>
      <c r="FN973" s="2484"/>
      <c r="FO973" s="2484"/>
      <c r="FP973" s="2484"/>
      <c r="FQ973" s="2484"/>
      <c r="FR973" s="2484"/>
      <c r="FS973" s="2484"/>
      <c r="FT973" s="2484"/>
      <c r="FU973" s="2484"/>
      <c r="FV973" s="2484"/>
      <c r="FW973" s="2484"/>
      <c r="FX973" s="2484"/>
      <c r="FY973" s="2484"/>
      <c r="FZ973" s="2484"/>
      <c r="GA973" s="2484"/>
      <c r="GB973" s="2484"/>
      <c r="GC973" s="2484"/>
      <c r="GD973" s="2484"/>
      <c r="GE973" s="2484"/>
      <c r="GF973" s="2484"/>
      <c r="GG973" s="2484"/>
      <c r="GH973" s="2484"/>
      <c r="GI973" s="2484"/>
      <c r="GJ973" s="2484"/>
      <c r="GK973" s="2484"/>
      <c r="GL973" s="2484"/>
      <c r="GM973" s="2484"/>
      <c r="GN973" s="2484"/>
      <c r="GO973" s="2484"/>
      <c r="GP973" s="2484"/>
      <c r="GQ973" s="2484"/>
      <c r="GR973" s="2484"/>
      <c r="GS973" s="2484"/>
      <c r="GT973" s="2484"/>
      <c r="GU973" s="2484"/>
      <c r="GV973" s="2484"/>
      <c r="GW973" s="2484"/>
      <c r="GX973" s="2484"/>
      <c r="GY973" s="2484"/>
      <c r="GZ973" s="2484"/>
      <c r="HA973" s="2484"/>
      <c r="HB973" s="2484"/>
      <c r="HC973" s="2484"/>
      <c r="HD973" s="2484"/>
      <c r="HE973" s="2484"/>
      <c r="HF973" s="2484"/>
      <c r="HG973" s="2484"/>
      <c r="HH973" s="2484"/>
      <c r="HI973" s="2484"/>
      <c r="HJ973" s="2484"/>
      <c r="HK973" s="2484"/>
      <c r="HL973" s="2484"/>
      <c r="HM973" s="2484"/>
      <c r="HN973" s="2484"/>
      <c r="HO973" s="2484"/>
      <c r="HP973" s="2484"/>
      <c r="HQ973" s="2484"/>
      <c r="HR973" s="2484"/>
    </row>
    <row r="974" spans="1:226" s="2485" customFormat="1" ht="15" customHeight="1">
      <c r="A974" s="3112"/>
      <c r="B974" s="3113"/>
      <c r="C974" s="3114"/>
      <c r="D974" s="3134"/>
      <c r="E974" s="2489" t="s">
        <v>582</v>
      </c>
      <c r="F974" s="2490">
        <f t="shared" ref="F974:F979" si="94">SUM(G974:J974)</f>
        <v>553833</v>
      </c>
      <c r="G974" s="2490">
        <v>553833</v>
      </c>
      <c r="H974" s="2490"/>
      <c r="I974" s="2490"/>
      <c r="J974" s="2491"/>
      <c r="K974" s="2482"/>
    </row>
    <row r="975" spans="1:226" s="2485" customFormat="1" ht="15" customHeight="1">
      <c r="A975" s="3112"/>
      <c r="B975" s="3113"/>
      <c r="C975" s="3114"/>
      <c r="D975" s="3134"/>
      <c r="E975" s="2503">
        <v>6057</v>
      </c>
      <c r="F975" s="2490">
        <f t="shared" si="94"/>
        <v>5754908</v>
      </c>
      <c r="G975" s="2490"/>
      <c r="H975" s="2490">
        <v>5754908</v>
      </c>
      <c r="I975" s="2490"/>
      <c r="J975" s="2491"/>
      <c r="K975" s="2482"/>
    </row>
    <row r="976" spans="1:226" s="2485" customFormat="1" ht="15" customHeight="1">
      <c r="A976" s="3112"/>
      <c r="B976" s="3113"/>
      <c r="C976" s="3114"/>
      <c r="D976" s="3134"/>
      <c r="E976" s="2503">
        <v>6059</v>
      </c>
      <c r="F976" s="2490">
        <f t="shared" si="94"/>
        <v>1015573</v>
      </c>
      <c r="G976" s="2490">
        <v>1015573</v>
      </c>
      <c r="H976" s="2490"/>
      <c r="I976" s="2490"/>
      <c r="J976" s="2491"/>
      <c r="K976" s="2482"/>
    </row>
    <row r="977" spans="1:226" s="2485" customFormat="1" ht="15" customHeight="1">
      <c r="A977" s="3112"/>
      <c r="B977" s="3113"/>
      <c r="C977" s="3114"/>
      <c r="D977" s="3134"/>
      <c r="E977" s="2503">
        <v>6060</v>
      </c>
      <c r="F977" s="2490">
        <f t="shared" si="94"/>
        <v>600000</v>
      </c>
      <c r="G977" s="2490">
        <v>600000</v>
      </c>
      <c r="H977" s="2490"/>
      <c r="I977" s="2490"/>
      <c r="J977" s="2491"/>
      <c r="K977" s="2482"/>
    </row>
    <row r="978" spans="1:226" s="2485" customFormat="1" ht="15" customHeight="1">
      <c r="A978" s="3112"/>
      <c r="B978" s="3113"/>
      <c r="C978" s="3114"/>
      <c r="D978" s="3134"/>
      <c r="E978" s="2489" t="s">
        <v>655</v>
      </c>
      <c r="F978" s="2490">
        <f t="shared" si="94"/>
        <v>340000</v>
      </c>
      <c r="G978" s="2490"/>
      <c r="H978" s="2490">
        <v>340000</v>
      </c>
      <c r="I978" s="2490"/>
      <c r="J978" s="2491"/>
      <c r="K978" s="2482"/>
    </row>
    <row r="979" spans="1:226" s="2485" customFormat="1" ht="15" customHeight="1">
      <c r="A979" s="3112"/>
      <c r="B979" s="3113"/>
      <c r="C979" s="3114"/>
      <c r="D979" s="3134"/>
      <c r="E979" s="2503">
        <v>6069</v>
      </c>
      <c r="F979" s="2490">
        <f t="shared" si="94"/>
        <v>60000</v>
      </c>
      <c r="G979" s="2490">
        <v>60000</v>
      </c>
      <c r="H979" s="2490"/>
      <c r="I979" s="2490"/>
      <c r="J979" s="2491"/>
      <c r="K979" s="2482"/>
    </row>
    <row r="980" spans="1:226" s="2485" customFormat="1" ht="22.5">
      <c r="A980" s="3112" t="s">
        <v>1124</v>
      </c>
      <c r="B980" s="3113" t="s">
        <v>1177</v>
      </c>
      <c r="C980" s="3114">
        <v>600</v>
      </c>
      <c r="D980" s="3134" t="s">
        <v>682</v>
      </c>
      <c r="E980" s="2479" t="s">
        <v>1086</v>
      </c>
      <c r="F980" s="2480">
        <f>SUM(F981,F988)</f>
        <v>8650143</v>
      </c>
      <c r="G980" s="2480">
        <f>SUM(G981,G988)</f>
        <v>1297521</v>
      </c>
      <c r="H980" s="2480">
        <f>SUM(H981,H988)</f>
        <v>7352622</v>
      </c>
      <c r="I980" s="2480">
        <f>SUM(I981,I988)</f>
        <v>0</v>
      </c>
      <c r="J980" s="2481">
        <f>SUM(J981,J988)</f>
        <v>0</v>
      </c>
      <c r="K980" s="2482"/>
    </row>
    <row r="981" spans="1:226" s="2485" customFormat="1" ht="15" customHeight="1">
      <c r="A981" s="3112"/>
      <c r="B981" s="3113"/>
      <c r="C981" s="3114"/>
      <c r="D981" s="3134"/>
      <c r="E981" s="2486" t="s">
        <v>739</v>
      </c>
      <c r="F981" s="2487">
        <f>SUM(F982,F985)</f>
        <v>0</v>
      </c>
      <c r="G981" s="2487">
        <f>SUM(G982,G985)</f>
        <v>0</v>
      </c>
      <c r="H981" s="2487">
        <f>SUM(H982,H985)</f>
        <v>0</v>
      </c>
      <c r="I981" s="2487">
        <f>SUM(I982,I985)</f>
        <v>0</v>
      </c>
      <c r="J981" s="2488">
        <f>SUM(J982,J985)</f>
        <v>0</v>
      </c>
      <c r="K981" s="2482"/>
    </row>
    <row r="982" spans="1:226" s="2485" customFormat="1" ht="15" hidden="1" customHeight="1">
      <c r="A982" s="3112"/>
      <c r="B982" s="3113"/>
      <c r="C982" s="3114"/>
      <c r="D982" s="3134"/>
      <c r="E982" s="2497" t="s">
        <v>1093</v>
      </c>
      <c r="F982" s="2498">
        <f>SUM(F983:F984)</f>
        <v>0</v>
      </c>
      <c r="G982" s="2498">
        <f>SUM(G983:G984)</f>
        <v>0</v>
      </c>
      <c r="H982" s="2498">
        <f>SUM(H983:H984)</f>
        <v>0</v>
      </c>
      <c r="I982" s="2498">
        <f>SUM(I983:I984)</f>
        <v>0</v>
      </c>
      <c r="J982" s="2499">
        <f>SUM(J983:J984)</f>
        <v>0</v>
      </c>
      <c r="K982" s="2482"/>
    </row>
    <row r="983" spans="1:226" s="2485" customFormat="1" ht="15" hidden="1" customHeight="1">
      <c r="A983" s="3112"/>
      <c r="B983" s="3113"/>
      <c r="C983" s="3114"/>
      <c r="D983" s="3134"/>
      <c r="E983" s="2489"/>
      <c r="F983" s="2490">
        <f>SUM(G983:J983)</f>
        <v>0</v>
      </c>
      <c r="G983" s="2490"/>
      <c r="H983" s="2490"/>
      <c r="I983" s="2490"/>
      <c r="J983" s="2491"/>
      <c r="K983" s="2482"/>
    </row>
    <row r="984" spans="1:226" s="2485" customFormat="1" ht="15" hidden="1" customHeight="1">
      <c r="A984" s="3112"/>
      <c r="B984" s="3113"/>
      <c r="C984" s="3114"/>
      <c r="D984" s="3134"/>
      <c r="E984" s="2489"/>
      <c r="F984" s="2490">
        <f>SUM(G984:J984)</f>
        <v>0</v>
      </c>
      <c r="G984" s="2490"/>
      <c r="H984" s="2490"/>
      <c r="I984" s="2490"/>
      <c r="J984" s="2491"/>
      <c r="K984" s="2482"/>
    </row>
    <row r="985" spans="1:226" s="2485" customFormat="1" ht="15" hidden="1" customHeight="1">
      <c r="A985" s="3112"/>
      <c r="B985" s="3113"/>
      <c r="C985" s="3114"/>
      <c r="D985" s="3134"/>
      <c r="E985" s="2497" t="s">
        <v>1094</v>
      </c>
      <c r="F985" s="2498">
        <f>SUM(F986:F987)</f>
        <v>0</v>
      </c>
      <c r="G985" s="2498">
        <f>SUM(G986:G987)</f>
        <v>0</v>
      </c>
      <c r="H985" s="2498">
        <f>SUM(H986:H987)</f>
        <v>0</v>
      </c>
      <c r="I985" s="2498">
        <f>SUM(I986:I987)</f>
        <v>0</v>
      </c>
      <c r="J985" s="2499">
        <f>SUM(J986:J987)</f>
        <v>0</v>
      </c>
      <c r="K985" s="2482"/>
    </row>
    <row r="986" spans="1:226" s="2485" customFormat="1" ht="15" hidden="1" customHeight="1">
      <c r="A986" s="3112"/>
      <c r="B986" s="3113"/>
      <c r="C986" s="3114"/>
      <c r="D986" s="3134"/>
      <c r="E986" s="2489"/>
      <c r="F986" s="2490">
        <f>SUM(G986:J986)</f>
        <v>0</v>
      </c>
      <c r="G986" s="2490"/>
      <c r="H986" s="2490"/>
      <c r="I986" s="2490"/>
      <c r="J986" s="2491"/>
      <c r="K986" s="2482"/>
    </row>
    <row r="987" spans="1:226" s="2485" customFormat="1" ht="15" hidden="1" customHeight="1">
      <c r="A987" s="3112"/>
      <c r="B987" s="3113"/>
      <c r="C987" s="3114"/>
      <c r="D987" s="3134"/>
      <c r="E987" s="2489"/>
      <c r="F987" s="2490">
        <f>SUM(G987:J987)</f>
        <v>0</v>
      </c>
      <c r="G987" s="2490"/>
      <c r="H987" s="2490"/>
      <c r="I987" s="2490"/>
      <c r="J987" s="2491"/>
      <c r="K987" s="2482"/>
    </row>
    <row r="988" spans="1:226" s="2485" customFormat="1" ht="15" customHeight="1">
      <c r="A988" s="3112"/>
      <c r="B988" s="3113"/>
      <c r="C988" s="3114"/>
      <c r="D988" s="3134"/>
      <c r="E988" s="2492" t="s">
        <v>1087</v>
      </c>
      <c r="F988" s="2487">
        <f>SUM(F989:F994)</f>
        <v>8650143</v>
      </c>
      <c r="G988" s="2487">
        <f>SUM(G989:G994)</f>
        <v>1297521</v>
      </c>
      <c r="H988" s="2487">
        <f>SUM(H989:H994)</f>
        <v>7352622</v>
      </c>
      <c r="I988" s="2487">
        <f>SUM(I989:I994)</f>
        <v>0</v>
      </c>
      <c r="J988" s="2488">
        <f>SUM(J989:J994)</f>
        <v>0</v>
      </c>
      <c r="K988" s="2482"/>
      <c r="L988" s="2484"/>
      <c r="M988" s="2484"/>
      <c r="N988" s="2484"/>
      <c r="O988" s="2484"/>
      <c r="P988" s="2484"/>
      <c r="Q988" s="2484"/>
      <c r="R988" s="2484"/>
      <c r="S988" s="2484"/>
      <c r="T988" s="2484"/>
      <c r="U988" s="2484"/>
      <c r="V988" s="2484"/>
      <c r="W988" s="2484"/>
      <c r="X988" s="2484"/>
      <c r="Y988" s="2484"/>
      <c r="Z988" s="2484"/>
      <c r="AA988" s="2484"/>
      <c r="AB988" s="2484"/>
      <c r="AC988" s="2484"/>
      <c r="AD988" s="2484"/>
      <c r="AE988" s="2484"/>
      <c r="AF988" s="2484"/>
      <c r="AG988" s="2484"/>
      <c r="AH988" s="2484"/>
      <c r="AI988" s="2484"/>
      <c r="AJ988" s="2484"/>
      <c r="AK988" s="2484"/>
      <c r="AL988" s="2484"/>
      <c r="AM988" s="2484"/>
      <c r="AN988" s="2484"/>
      <c r="AO988" s="2484"/>
      <c r="AP988" s="2484"/>
      <c r="AQ988" s="2484"/>
      <c r="AR988" s="2484"/>
      <c r="AS988" s="2484"/>
      <c r="AT988" s="2484"/>
      <c r="AU988" s="2484"/>
      <c r="AV988" s="2484"/>
      <c r="AW988" s="2484"/>
      <c r="AX988" s="2484"/>
      <c r="AY988" s="2484"/>
      <c r="AZ988" s="2484"/>
      <c r="BA988" s="2484"/>
      <c r="BB988" s="2484"/>
      <c r="BC988" s="2484"/>
      <c r="BD988" s="2484"/>
      <c r="BE988" s="2484"/>
      <c r="BF988" s="2484"/>
      <c r="BG988" s="2484"/>
      <c r="BH988" s="2484"/>
      <c r="BI988" s="2484"/>
      <c r="BJ988" s="2484"/>
      <c r="BK988" s="2484"/>
      <c r="BL988" s="2484"/>
      <c r="BM988" s="2484"/>
      <c r="BN988" s="2484"/>
      <c r="BO988" s="2484"/>
      <c r="BP988" s="2484"/>
      <c r="BQ988" s="2484"/>
      <c r="BR988" s="2484"/>
      <c r="BS988" s="2484"/>
      <c r="BT988" s="2484"/>
      <c r="BU988" s="2484"/>
      <c r="BV988" s="2484"/>
      <c r="BW988" s="2484"/>
      <c r="BX988" s="2484"/>
      <c r="BY988" s="2484"/>
      <c r="BZ988" s="2484"/>
      <c r="CA988" s="2484"/>
      <c r="CB988" s="2484"/>
      <c r="CC988" s="2484"/>
      <c r="CD988" s="2484"/>
      <c r="CE988" s="2484"/>
      <c r="CF988" s="2484"/>
      <c r="CG988" s="2484"/>
      <c r="CH988" s="2484"/>
      <c r="CI988" s="2484"/>
      <c r="CJ988" s="2484"/>
      <c r="CK988" s="2484"/>
      <c r="CL988" s="2484"/>
      <c r="CM988" s="2484"/>
      <c r="CN988" s="2484"/>
      <c r="CO988" s="2484"/>
      <c r="CP988" s="2484"/>
      <c r="CQ988" s="2484"/>
      <c r="CR988" s="2484"/>
      <c r="CS988" s="2484"/>
      <c r="CT988" s="2484"/>
      <c r="CU988" s="2484"/>
      <c r="CV988" s="2484"/>
      <c r="CW988" s="2484"/>
      <c r="CX988" s="2484"/>
      <c r="CY988" s="2484"/>
      <c r="CZ988" s="2484"/>
      <c r="DA988" s="2484"/>
      <c r="DB988" s="2484"/>
      <c r="DC988" s="2484"/>
      <c r="DD988" s="2484"/>
      <c r="DE988" s="2484"/>
      <c r="DF988" s="2484"/>
      <c r="DG988" s="2484"/>
      <c r="DH988" s="2484"/>
      <c r="DI988" s="2484"/>
      <c r="DJ988" s="2484"/>
      <c r="DK988" s="2484"/>
      <c r="DL988" s="2484"/>
      <c r="DM988" s="2484"/>
      <c r="DN988" s="2484"/>
      <c r="DO988" s="2484"/>
      <c r="DP988" s="2484"/>
      <c r="DQ988" s="2484"/>
      <c r="DR988" s="2484"/>
      <c r="DS988" s="2484"/>
      <c r="DT988" s="2484"/>
      <c r="DU988" s="2484"/>
      <c r="DV988" s="2484"/>
      <c r="DW988" s="2484"/>
      <c r="DX988" s="2484"/>
      <c r="DY988" s="2484"/>
      <c r="DZ988" s="2484"/>
      <c r="EA988" s="2484"/>
      <c r="EB988" s="2484"/>
      <c r="EC988" s="2484"/>
      <c r="ED988" s="2484"/>
      <c r="EE988" s="2484"/>
      <c r="EF988" s="2484"/>
      <c r="EG988" s="2484"/>
      <c r="EH988" s="2484"/>
      <c r="EI988" s="2484"/>
      <c r="EJ988" s="2484"/>
      <c r="EK988" s="2484"/>
      <c r="EL988" s="2484"/>
      <c r="EM988" s="2484"/>
      <c r="EN988" s="2484"/>
      <c r="EO988" s="2484"/>
      <c r="EP988" s="2484"/>
      <c r="EQ988" s="2484"/>
      <c r="ER988" s="2484"/>
      <c r="ES988" s="2484"/>
      <c r="ET988" s="2484"/>
      <c r="EU988" s="2484"/>
      <c r="EV988" s="2484"/>
      <c r="EW988" s="2484"/>
      <c r="EX988" s="2484"/>
      <c r="EY988" s="2484"/>
      <c r="EZ988" s="2484"/>
      <c r="FA988" s="2484"/>
      <c r="FB988" s="2484"/>
      <c r="FC988" s="2484"/>
      <c r="FD988" s="2484"/>
      <c r="FE988" s="2484"/>
      <c r="FF988" s="2484"/>
      <c r="FG988" s="2484"/>
      <c r="FH988" s="2484"/>
      <c r="FI988" s="2484"/>
      <c r="FJ988" s="2484"/>
      <c r="FK988" s="2484"/>
      <c r="FL988" s="2484"/>
      <c r="FM988" s="2484"/>
      <c r="FN988" s="2484"/>
      <c r="FO988" s="2484"/>
      <c r="FP988" s="2484"/>
      <c r="FQ988" s="2484"/>
      <c r="FR988" s="2484"/>
      <c r="FS988" s="2484"/>
      <c r="FT988" s="2484"/>
      <c r="FU988" s="2484"/>
      <c r="FV988" s="2484"/>
      <c r="FW988" s="2484"/>
      <c r="FX988" s="2484"/>
      <c r="FY988" s="2484"/>
      <c r="FZ988" s="2484"/>
      <c r="GA988" s="2484"/>
      <c r="GB988" s="2484"/>
      <c r="GC988" s="2484"/>
      <c r="GD988" s="2484"/>
      <c r="GE988" s="2484"/>
      <c r="GF988" s="2484"/>
      <c r="GG988" s="2484"/>
      <c r="GH988" s="2484"/>
      <c r="GI988" s="2484"/>
      <c r="GJ988" s="2484"/>
      <c r="GK988" s="2484"/>
      <c r="GL988" s="2484"/>
      <c r="GM988" s="2484"/>
      <c r="GN988" s="2484"/>
      <c r="GO988" s="2484"/>
      <c r="GP988" s="2484"/>
      <c r="GQ988" s="2484"/>
      <c r="GR988" s="2484"/>
      <c r="GS988" s="2484"/>
      <c r="GT988" s="2484"/>
      <c r="GU988" s="2484"/>
      <c r="GV988" s="2484"/>
      <c r="GW988" s="2484"/>
      <c r="GX988" s="2484"/>
      <c r="GY988" s="2484"/>
      <c r="GZ988" s="2484"/>
      <c r="HA988" s="2484"/>
      <c r="HB988" s="2484"/>
      <c r="HC988" s="2484"/>
      <c r="HD988" s="2484"/>
      <c r="HE988" s="2484"/>
      <c r="HF988" s="2484"/>
      <c r="HG988" s="2484"/>
      <c r="HH988" s="2484"/>
      <c r="HI988" s="2484"/>
      <c r="HJ988" s="2484"/>
      <c r="HK988" s="2484"/>
      <c r="HL988" s="2484"/>
      <c r="HM988" s="2484"/>
      <c r="HN988" s="2484"/>
      <c r="HO988" s="2484"/>
      <c r="HP988" s="2484"/>
      <c r="HQ988" s="2484"/>
      <c r="HR988" s="2484"/>
    </row>
    <row r="989" spans="1:226" s="2485" customFormat="1" ht="15" hidden="1" customHeight="1">
      <c r="A989" s="3112"/>
      <c r="B989" s="3113"/>
      <c r="C989" s="3114"/>
      <c r="D989" s="3134"/>
      <c r="E989" s="2489" t="s">
        <v>582</v>
      </c>
      <c r="F989" s="2490">
        <f t="shared" ref="F989:F994" si="95">SUM(G989:J989)</f>
        <v>0</v>
      </c>
      <c r="G989" s="2490"/>
      <c r="H989" s="2490"/>
      <c r="I989" s="2490"/>
      <c r="J989" s="2491"/>
      <c r="K989" s="2482"/>
    </row>
    <row r="990" spans="1:226" s="2485" customFormat="1" ht="15" customHeight="1">
      <c r="A990" s="3112"/>
      <c r="B990" s="3113"/>
      <c r="C990" s="3114"/>
      <c r="D990" s="3134"/>
      <c r="E990" s="2503">
        <v>6057</v>
      </c>
      <c r="F990" s="2490">
        <f t="shared" si="95"/>
        <v>7352622</v>
      </c>
      <c r="G990" s="2490"/>
      <c r="H990" s="2490">
        <v>7352622</v>
      </c>
      <c r="I990" s="2490"/>
      <c r="J990" s="2491"/>
      <c r="K990" s="2482"/>
    </row>
    <row r="991" spans="1:226" s="2485" customFormat="1" ht="15" customHeight="1">
      <c r="A991" s="3112"/>
      <c r="B991" s="3113"/>
      <c r="C991" s="3114"/>
      <c r="D991" s="3134"/>
      <c r="E991" s="2503">
        <v>6059</v>
      </c>
      <c r="F991" s="2490">
        <f t="shared" si="95"/>
        <v>1297521</v>
      </c>
      <c r="G991" s="2490">
        <v>1297521</v>
      </c>
      <c r="H991" s="2490"/>
      <c r="I991" s="2490"/>
      <c r="J991" s="2491"/>
      <c r="K991" s="2482"/>
    </row>
    <row r="992" spans="1:226" s="2485" customFormat="1" ht="15" hidden="1" customHeight="1">
      <c r="A992" s="3112"/>
      <c r="B992" s="3113"/>
      <c r="C992" s="3114"/>
      <c r="D992" s="3134"/>
      <c r="E992" s="2503">
        <v>6060</v>
      </c>
      <c r="F992" s="2490">
        <f t="shared" si="95"/>
        <v>0</v>
      </c>
      <c r="G992" s="2490"/>
      <c r="H992" s="2490"/>
      <c r="I992" s="2490"/>
      <c r="J992" s="2491"/>
      <c r="K992" s="2482"/>
    </row>
    <row r="993" spans="1:226" s="2485" customFormat="1" ht="15" hidden="1" customHeight="1">
      <c r="A993" s="3112"/>
      <c r="B993" s="3113"/>
      <c r="C993" s="3114"/>
      <c r="D993" s="3134"/>
      <c r="E993" s="2489" t="s">
        <v>655</v>
      </c>
      <c r="F993" s="2490">
        <f t="shared" si="95"/>
        <v>0</v>
      </c>
      <c r="G993" s="2490"/>
      <c r="H993" s="2490"/>
      <c r="I993" s="2490"/>
      <c r="J993" s="2491"/>
      <c r="K993" s="2482"/>
    </row>
    <row r="994" spans="1:226" s="2485" customFormat="1" ht="15" hidden="1" customHeight="1">
      <c r="A994" s="3112"/>
      <c r="B994" s="3113"/>
      <c r="C994" s="3114"/>
      <c r="D994" s="3134"/>
      <c r="E994" s="2503">
        <v>6069</v>
      </c>
      <c r="F994" s="2490">
        <f t="shared" si="95"/>
        <v>0</v>
      </c>
      <c r="G994" s="2490"/>
      <c r="H994" s="2490"/>
      <c r="I994" s="2490"/>
      <c r="J994" s="2491"/>
      <c r="K994" s="2482"/>
    </row>
    <row r="995" spans="1:226" s="2485" customFormat="1" ht="22.5">
      <c r="A995" s="3112" t="s">
        <v>1126</v>
      </c>
      <c r="B995" s="3113" t="s">
        <v>1178</v>
      </c>
      <c r="C995" s="3114">
        <v>600</v>
      </c>
      <c r="D995" s="3134" t="s">
        <v>682</v>
      </c>
      <c r="E995" s="2479" t="s">
        <v>1086</v>
      </c>
      <c r="F995" s="2480">
        <f>SUM(F996,F1003)</f>
        <v>357000</v>
      </c>
      <c r="G995" s="2480">
        <f>SUM(G996,G1003)</f>
        <v>53550</v>
      </c>
      <c r="H995" s="2480">
        <f>SUM(H996,H1003)</f>
        <v>303450</v>
      </c>
      <c r="I995" s="2480">
        <f>SUM(I996,I1003)</f>
        <v>0</v>
      </c>
      <c r="J995" s="2481">
        <f>SUM(J996,J1003)</f>
        <v>0</v>
      </c>
      <c r="K995" s="2482"/>
    </row>
    <row r="996" spans="1:226" s="2485" customFormat="1" ht="15" customHeight="1">
      <c r="A996" s="3112"/>
      <c r="B996" s="3113"/>
      <c r="C996" s="3114"/>
      <c r="D996" s="3134"/>
      <c r="E996" s="2486" t="s">
        <v>739</v>
      </c>
      <c r="F996" s="2487">
        <f>SUM(F997,F1000)</f>
        <v>0</v>
      </c>
      <c r="G996" s="2487">
        <f>SUM(G997,G1000)</f>
        <v>0</v>
      </c>
      <c r="H996" s="2487">
        <f>SUM(H997,H1000)</f>
        <v>0</v>
      </c>
      <c r="I996" s="2487">
        <f>SUM(I997,I1000)</f>
        <v>0</v>
      </c>
      <c r="J996" s="2488">
        <f>SUM(J997,J1000)</f>
        <v>0</v>
      </c>
      <c r="K996" s="2482"/>
    </row>
    <row r="997" spans="1:226" s="2485" customFormat="1" ht="15" hidden="1" customHeight="1">
      <c r="A997" s="3112"/>
      <c r="B997" s="3113"/>
      <c r="C997" s="3114"/>
      <c r="D997" s="3134"/>
      <c r="E997" s="2497" t="s">
        <v>1093</v>
      </c>
      <c r="F997" s="2498">
        <f>SUM(F998:F999)</f>
        <v>0</v>
      </c>
      <c r="G997" s="2498">
        <f>SUM(G998:G999)</f>
        <v>0</v>
      </c>
      <c r="H997" s="2498">
        <f>SUM(H998:H999)</f>
        <v>0</v>
      </c>
      <c r="I997" s="2498">
        <f>SUM(I998:I999)</f>
        <v>0</v>
      </c>
      <c r="J997" s="2499">
        <f>SUM(J998:J999)</f>
        <v>0</v>
      </c>
      <c r="K997" s="2482"/>
    </row>
    <row r="998" spans="1:226" s="2485" customFormat="1" ht="15" hidden="1" customHeight="1">
      <c r="A998" s="3112"/>
      <c r="B998" s="3113"/>
      <c r="C998" s="3114"/>
      <c r="D998" s="3134"/>
      <c r="E998" s="2489"/>
      <c r="F998" s="2490">
        <f>SUM(G998:J998)</f>
        <v>0</v>
      </c>
      <c r="G998" s="2490"/>
      <c r="H998" s="2490"/>
      <c r="I998" s="2490"/>
      <c r="J998" s="2491"/>
      <c r="K998" s="2482"/>
    </row>
    <row r="999" spans="1:226" s="2485" customFormat="1" ht="15" hidden="1" customHeight="1">
      <c r="A999" s="3112"/>
      <c r="B999" s="3113"/>
      <c r="C999" s="3114"/>
      <c r="D999" s="3134"/>
      <c r="E999" s="2489"/>
      <c r="F999" s="2490">
        <f>SUM(G999:J999)</f>
        <v>0</v>
      </c>
      <c r="G999" s="2490"/>
      <c r="H999" s="2490"/>
      <c r="I999" s="2490"/>
      <c r="J999" s="2491"/>
      <c r="K999" s="2482"/>
    </row>
    <row r="1000" spans="1:226" s="2485" customFormat="1" ht="15" hidden="1" customHeight="1">
      <c r="A1000" s="3112"/>
      <c r="B1000" s="3113"/>
      <c r="C1000" s="3114"/>
      <c r="D1000" s="3134"/>
      <c r="E1000" s="2497" t="s">
        <v>1094</v>
      </c>
      <c r="F1000" s="2498">
        <f>SUM(F1001:F1002)</f>
        <v>0</v>
      </c>
      <c r="G1000" s="2498">
        <f>SUM(G1001:G1002)</f>
        <v>0</v>
      </c>
      <c r="H1000" s="2498">
        <f>SUM(H1001:H1002)</f>
        <v>0</v>
      </c>
      <c r="I1000" s="2498">
        <f>SUM(I1001:I1002)</f>
        <v>0</v>
      </c>
      <c r="J1000" s="2499">
        <f>SUM(J1001:J1002)</f>
        <v>0</v>
      </c>
      <c r="K1000" s="2482"/>
    </row>
    <row r="1001" spans="1:226" s="2485" customFormat="1" ht="15" hidden="1" customHeight="1">
      <c r="A1001" s="3112"/>
      <c r="B1001" s="3113"/>
      <c r="C1001" s="3114"/>
      <c r="D1001" s="3134"/>
      <c r="E1001" s="2489"/>
      <c r="F1001" s="2490">
        <f>SUM(G1001:J1001)</f>
        <v>0</v>
      </c>
      <c r="G1001" s="2490"/>
      <c r="H1001" s="2490"/>
      <c r="I1001" s="2490"/>
      <c r="J1001" s="2491"/>
      <c r="K1001" s="2482"/>
    </row>
    <row r="1002" spans="1:226" s="2485" customFormat="1" ht="15" hidden="1" customHeight="1">
      <c r="A1002" s="3112"/>
      <c r="B1002" s="3113"/>
      <c r="C1002" s="3114"/>
      <c r="D1002" s="3134"/>
      <c r="E1002" s="2489"/>
      <c r="F1002" s="2490">
        <f>SUM(G1002:J1002)</f>
        <v>0</v>
      </c>
      <c r="G1002" s="2490"/>
      <c r="H1002" s="2490"/>
      <c r="I1002" s="2490"/>
      <c r="J1002" s="2491"/>
      <c r="K1002" s="2482"/>
    </row>
    <row r="1003" spans="1:226" s="2485" customFormat="1" ht="15" customHeight="1">
      <c r="A1003" s="3112"/>
      <c r="B1003" s="3113"/>
      <c r="C1003" s="3114"/>
      <c r="D1003" s="3134"/>
      <c r="E1003" s="2492" t="s">
        <v>1087</v>
      </c>
      <c r="F1003" s="2487">
        <f>SUM(F1004:F1009)</f>
        <v>357000</v>
      </c>
      <c r="G1003" s="2487">
        <f>SUM(G1004:G1009)</f>
        <v>53550</v>
      </c>
      <c r="H1003" s="2487">
        <f>SUM(H1004:H1009)</f>
        <v>303450</v>
      </c>
      <c r="I1003" s="2487">
        <f>SUM(I1004:I1009)</f>
        <v>0</v>
      </c>
      <c r="J1003" s="2488">
        <f>SUM(J1004:J1009)</f>
        <v>0</v>
      </c>
      <c r="K1003" s="2482"/>
      <c r="L1003" s="2484"/>
      <c r="M1003" s="2484"/>
      <c r="N1003" s="2484"/>
      <c r="O1003" s="2484"/>
      <c r="P1003" s="2484"/>
      <c r="Q1003" s="2484"/>
      <c r="R1003" s="2484"/>
      <c r="S1003" s="2484"/>
      <c r="T1003" s="2484"/>
      <c r="U1003" s="2484"/>
      <c r="V1003" s="2484"/>
      <c r="W1003" s="2484"/>
      <c r="X1003" s="2484"/>
      <c r="Y1003" s="2484"/>
      <c r="Z1003" s="2484"/>
      <c r="AA1003" s="2484"/>
      <c r="AB1003" s="2484"/>
      <c r="AC1003" s="2484"/>
      <c r="AD1003" s="2484"/>
      <c r="AE1003" s="2484"/>
      <c r="AF1003" s="2484"/>
      <c r="AG1003" s="2484"/>
      <c r="AH1003" s="2484"/>
      <c r="AI1003" s="2484"/>
      <c r="AJ1003" s="2484"/>
      <c r="AK1003" s="2484"/>
      <c r="AL1003" s="2484"/>
      <c r="AM1003" s="2484"/>
      <c r="AN1003" s="2484"/>
      <c r="AO1003" s="2484"/>
      <c r="AP1003" s="2484"/>
      <c r="AQ1003" s="2484"/>
      <c r="AR1003" s="2484"/>
      <c r="AS1003" s="2484"/>
      <c r="AT1003" s="2484"/>
      <c r="AU1003" s="2484"/>
      <c r="AV1003" s="2484"/>
      <c r="AW1003" s="2484"/>
      <c r="AX1003" s="2484"/>
      <c r="AY1003" s="2484"/>
      <c r="AZ1003" s="2484"/>
      <c r="BA1003" s="2484"/>
      <c r="BB1003" s="2484"/>
      <c r="BC1003" s="2484"/>
      <c r="BD1003" s="2484"/>
      <c r="BE1003" s="2484"/>
      <c r="BF1003" s="2484"/>
      <c r="BG1003" s="2484"/>
      <c r="BH1003" s="2484"/>
      <c r="BI1003" s="2484"/>
      <c r="BJ1003" s="2484"/>
      <c r="BK1003" s="2484"/>
      <c r="BL1003" s="2484"/>
      <c r="BM1003" s="2484"/>
      <c r="BN1003" s="2484"/>
      <c r="BO1003" s="2484"/>
      <c r="BP1003" s="2484"/>
      <c r="BQ1003" s="2484"/>
      <c r="BR1003" s="2484"/>
      <c r="BS1003" s="2484"/>
      <c r="BT1003" s="2484"/>
      <c r="BU1003" s="2484"/>
      <c r="BV1003" s="2484"/>
      <c r="BW1003" s="2484"/>
      <c r="BX1003" s="2484"/>
      <c r="BY1003" s="2484"/>
      <c r="BZ1003" s="2484"/>
      <c r="CA1003" s="2484"/>
      <c r="CB1003" s="2484"/>
      <c r="CC1003" s="2484"/>
      <c r="CD1003" s="2484"/>
      <c r="CE1003" s="2484"/>
      <c r="CF1003" s="2484"/>
      <c r="CG1003" s="2484"/>
      <c r="CH1003" s="2484"/>
      <c r="CI1003" s="2484"/>
      <c r="CJ1003" s="2484"/>
      <c r="CK1003" s="2484"/>
      <c r="CL1003" s="2484"/>
      <c r="CM1003" s="2484"/>
      <c r="CN1003" s="2484"/>
      <c r="CO1003" s="2484"/>
      <c r="CP1003" s="2484"/>
      <c r="CQ1003" s="2484"/>
      <c r="CR1003" s="2484"/>
      <c r="CS1003" s="2484"/>
      <c r="CT1003" s="2484"/>
      <c r="CU1003" s="2484"/>
      <c r="CV1003" s="2484"/>
      <c r="CW1003" s="2484"/>
      <c r="CX1003" s="2484"/>
      <c r="CY1003" s="2484"/>
      <c r="CZ1003" s="2484"/>
      <c r="DA1003" s="2484"/>
      <c r="DB1003" s="2484"/>
      <c r="DC1003" s="2484"/>
      <c r="DD1003" s="2484"/>
      <c r="DE1003" s="2484"/>
      <c r="DF1003" s="2484"/>
      <c r="DG1003" s="2484"/>
      <c r="DH1003" s="2484"/>
      <c r="DI1003" s="2484"/>
      <c r="DJ1003" s="2484"/>
      <c r="DK1003" s="2484"/>
      <c r="DL1003" s="2484"/>
      <c r="DM1003" s="2484"/>
      <c r="DN1003" s="2484"/>
      <c r="DO1003" s="2484"/>
      <c r="DP1003" s="2484"/>
      <c r="DQ1003" s="2484"/>
      <c r="DR1003" s="2484"/>
      <c r="DS1003" s="2484"/>
      <c r="DT1003" s="2484"/>
      <c r="DU1003" s="2484"/>
      <c r="DV1003" s="2484"/>
      <c r="DW1003" s="2484"/>
      <c r="DX1003" s="2484"/>
      <c r="DY1003" s="2484"/>
      <c r="DZ1003" s="2484"/>
      <c r="EA1003" s="2484"/>
      <c r="EB1003" s="2484"/>
      <c r="EC1003" s="2484"/>
      <c r="ED1003" s="2484"/>
      <c r="EE1003" s="2484"/>
      <c r="EF1003" s="2484"/>
      <c r="EG1003" s="2484"/>
      <c r="EH1003" s="2484"/>
      <c r="EI1003" s="2484"/>
      <c r="EJ1003" s="2484"/>
      <c r="EK1003" s="2484"/>
      <c r="EL1003" s="2484"/>
      <c r="EM1003" s="2484"/>
      <c r="EN1003" s="2484"/>
      <c r="EO1003" s="2484"/>
      <c r="EP1003" s="2484"/>
      <c r="EQ1003" s="2484"/>
      <c r="ER1003" s="2484"/>
      <c r="ES1003" s="2484"/>
      <c r="ET1003" s="2484"/>
      <c r="EU1003" s="2484"/>
      <c r="EV1003" s="2484"/>
      <c r="EW1003" s="2484"/>
      <c r="EX1003" s="2484"/>
      <c r="EY1003" s="2484"/>
      <c r="EZ1003" s="2484"/>
      <c r="FA1003" s="2484"/>
      <c r="FB1003" s="2484"/>
      <c r="FC1003" s="2484"/>
      <c r="FD1003" s="2484"/>
      <c r="FE1003" s="2484"/>
      <c r="FF1003" s="2484"/>
      <c r="FG1003" s="2484"/>
      <c r="FH1003" s="2484"/>
      <c r="FI1003" s="2484"/>
      <c r="FJ1003" s="2484"/>
      <c r="FK1003" s="2484"/>
      <c r="FL1003" s="2484"/>
      <c r="FM1003" s="2484"/>
      <c r="FN1003" s="2484"/>
      <c r="FO1003" s="2484"/>
      <c r="FP1003" s="2484"/>
      <c r="FQ1003" s="2484"/>
      <c r="FR1003" s="2484"/>
      <c r="FS1003" s="2484"/>
      <c r="FT1003" s="2484"/>
      <c r="FU1003" s="2484"/>
      <c r="FV1003" s="2484"/>
      <c r="FW1003" s="2484"/>
      <c r="FX1003" s="2484"/>
      <c r="FY1003" s="2484"/>
      <c r="FZ1003" s="2484"/>
      <c r="GA1003" s="2484"/>
      <c r="GB1003" s="2484"/>
      <c r="GC1003" s="2484"/>
      <c r="GD1003" s="2484"/>
      <c r="GE1003" s="2484"/>
      <c r="GF1003" s="2484"/>
      <c r="GG1003" s="2484"/>
      <c r="GH1003" s="2484"/>
      <c r="GI1003" s="2484"/>
      <c r="GJ1003" s="2484"/>
      <c r="GK1003" s="2484"/>
      <c r="GL1003" s="2484"/>
      <c r="GM1003" s="2484"/>
      <c r="GN1003" s="2484"/>
      <c r="GO1003" s="2484"/>
      <c r="GP1003" s="2484"/>
      <c r="GQ1003" s="2484"/>
      <c r="GR1003" s="2484"/>
      <c r="GS1003" s="2484"/>
      <c r="GT1003" s="2484"/>
      <c r="GU1003" s="2484"/>
      <c r="GV1003" s="2484"/>
      <c r="GW1003" s="2484"/>
      <c r="GX1003" s="2484"/>
      <c r="GY1003" s="2484"/>
      <c r="GZ1003" s="2484"/>
      <c r="HA1003" s="2484"/>
      <c r="HB1003" s="2484"/>
      <c r="HC1003" s="2484"/>
      <c r="HD1003" s="2484"/>
      <c r="HE1003" s="2484"/>
      <c r="HF1003" s="2484"/>
      <c r="HG1003" s="2484"/>
      <c r="HH1003" s="2484"/>
      <c r="HI1003" s="2484"/>
      <c r="HJ1003" s="2484"/>
      <c r="HK1003" s="2484"/>
      <c r="HL1003" s="2484"/>
      <c r="HM1003" s="2484"/>
      <c r="HN1003" s="2484"/>
      <c r="HO1003" s="2484"/>
      <c r="HP1003" s="2484"/>
      <c r="HQ1003" s="2484"/>
      <c r="HR1003" s="2484"/>
    </row>
    <row r="1004" spans="1:226" s="2485" customFormat="1" ht="15" hidden="1" customHeight="1">
      <c r="A1004" s="3112"/>
      <c r="B1004" s="3113"/>
      <c r="C1004" s="3114"/>
      <c r="D1004" s="3134"/>
      <c r="E1004" s="2489" t="s">
        <v>582</v>
      </c>
      <c r="F1004" s="2490">
        <f t="shared" ref="F1004:F1009" si="96">SUM(G1004:J1004)</f>
        <v>0</v>
      </c>
      <c r="G1004" s="2490"/>
      <c r="H1004" s="2490"/>
      <c r="I1004" s="2490"/>
      <c r="J1004" s="2491"/>
      <c r="K1004" s="2482"/>
    </row>
    <row r="1005" spans="1:226" s="2485" customFormat="1" ht="15" customHeight="1">
      <c r="A1005" s="3112"/>
      <c r="B1005" s="3113"/>
      <c r="C1005" s="3114"/>
      <c r="D1005" s="3134"/>
      <c r="E1005" s="2503">
        <v>6057</v>
      </c>
      <c r="F1005" s="2490">
        <f t="shared" si="96"/>
        <v>303450</v>
      </c>
      <c r="G1005" s="2490"/>
      <c r="H1005" s="2490">
        <v>303450</v>
      </c>
      <c r="I1005" s="2490"/>
      <c r="J1005" s="2491"/>
      <c r="K1005" s="2482"/>
    </row>
    <row r="1006" spans="1:226" s="2485" customFormat="1" ht="15" customHeight="1">
      <c r="A1006" s="3112"/>
      <c r="B1006" s="3113"/>
      <c r="C1006" s="3114"/>
      <c r="D1006" s="3134"/>
      <c r="E1006" s="2503">
        <v>6059</v>
      </c>
      <c r="F1006" s="2490">
        <f t="shared" si="96"/>
        <v>53550</v>
      </c>
      <c r="G1006" s="2490">
        <v>53550</v>
      </c>
      <c r="H1006" s="2490"/>
      <c r="I1006" s="2490"/>
      <c r="J1006" s="2491"/>
      <c r="K1006" s="2482"/>
    </row>
    <row r="1007" spans="1:226" s="2485" customFormat="1" ht="15" hidden="1" customHeight="1">
      <c r="A1007" s="3112"/>
      <c r="B1007" s="3113"/>
      <c r="C1007" s="3114"/>
      <c r="D1007" s="3134"/>
      <c r="E1007" s="2503">
        <v>6060</v>
      </c>
      <c r="F1007" s="2490">
        <f t="shared" si="96"/>
        <v>0</v>
      </c>
      <c r="G1007" s="2490"/>
      <c r="H1007" s="2490"/>
      <c r="I1007" s="2490"/>
      <c r="J1007" s="2491"/>
      <c r="K1007" s="2482"/>
    </row>
    <row r="1008" spans="1:226" s="2485" customFormat="1" ht="15" hidden="1" customHeight="1">
      <c r="A1008" s="3112"/>
      <c r="B1008" s="3113"/>
      <c r="C1008" s="3114"/>
      <c r="D1008" s="3134"/>
      <c r="E1008" s="2489" t="s">
        <v>655</v>
      </c>
      <c r="F1008" s="2490">
        <f t="shared" si="96"/>
        <v>0</v>
      </c>
      <c r="G1008" s="2490"/>
      <c r="H1008" s="2490"/>
      <c r="I1008" s="2490"/>
      <c r="J1008" s="2491"/>
      <c r="K1008" s="2482"/>
    </row>
    <row r="1009" spans="1:226" s="2485" customFormat="1" ht="15" hidden="1" customHeight="1">
      <c r="A1009" s="3112"/>
      <c r="B1009" s="3113"/>
      <c r="C1009" s="3114"/>
      <c r="D1009" s="3134"/>
      <c r="E1009" s="2503">
        <v>6069</v>
      </c>
      <c r="F1009" s="2490">
        <f t="shared" si="96"/>
        <v>0</v>
      </c>
      <c r="G1009" s="2490"/>
      <c r="H1009" s="2490"/>
      <c r="I1009" s="2490"/>
      <c r="J1009" s="2491"/>
      <c r="K1009" s="2482"/>
    </row>
    <row r="1010" spans="1:226" s="2485" customFormat="1" ht="22.5">
      <c r="A1010" s="3112" t="s">
        <v>1132</v>
      </c>
      <c r="B1010" s="3113" t="s">
        <v>1179</v>
      </c>
      <c r="C1010" s="3114">
        <v>600</v>
      </c>
      <c r="D1010" s="3134" t="s">
        <v>682</v>
      </c>
      <c r="E1010" s="2479" t="s">
        <v>1086</v>
      </c>
      <c r="F1010" s="2480">
        <f>SUM(F1011,F1018)</f>
        <v>3712200</v>
      </c>
      <c r="G1010" s="2480">
        <f>SUM(G1011,G1018)</f>
        <v>556830</v>
      </c>
      <c r="H1010" s="2480">
        <f>SUM(H1011,H1018)</f>
        <v>3155370</v>
      </c>
      <c r="I1010" s="2480">
        <f>SUM(I1011,I1018)</f>
        <v>0</v>
      </c>
      <c r="J1010" s="2481">
        <f>SUM(J1011,J1018)</f>
        <v>0</v>
      </c>
      <c r="K1010" s="2482"/>
    </row>
    <row r="1011" spans="1:226" s="2485" customFormat="1" ht="15" customHeight="1">
      <c r="A1011" s="3112"/>
      <c r="B1011" s="3113"/>
      <c r="C1011" s="3114"/>
      <c r="D1011" s="3134"/>
      <c r="E1011" s="2486" t="s">
        <v>739</v>
      </c>
      <c r="F1011" s="2487">
        <f>SUM(F1012,F1015)</f>
        <v>0</v>
      </c>
      <c r="G1011" s="2487">
        <f>SUM(G1012,G1015)</f>
        <v>0</v>
      </c>
      <c r="H1011" s="2487">
        <f>SUM(H1012,H1015)</f>
        <v>0</v>
      </c>
      <c r="I1011" s="2487">
        <f>SUM(I1012,I1015)</f>
        <v>0</v>
      </c>
      <c r="J1011" s="2488">
        <f>SUM(J1012,J1015)</f>
        <v>0</v>
      </c>
      <c r="K1011" s="2482"/>
    </row>
    <row r="1012" spans="1:226" s="2485" customFormat="1" ht="15" hidden="1" customHeight="1">
      <c r="A1012" s="3112"/>
      <c r="B1012" s="3113"/>
      <c r="C1012" s="3114"/>
      <c r="D1012" s="3134"/>
      <c r="E1012" s="2497" t="s">
        <v>1093</v>
      </c>
      <c r="F1012" s="2498">
        <f>SUM(F1013:F1014)</f>
        <v>0</v>
      </c>
      <c r="G1012" s="2498">
        <f>SUM(G1013:G1014)</f>
        <v>0</v>
      </c>
      <c r="H1012" s="2498">
        <f>SUM(H1013:H1014)</f>
        <v>0</v>
      </c>
      <c r="I1012" s="2498">
        <f>SUM(I1013:I1014)</f>
        <v>0</v>
      </c>
      <c r="J1012" s="2499">
        <f>SUM(J1013:J1014)</f>
        <v>0</v>
      </c>
      <c r="K1012" s="2482"/>
    </row>
    <row r="1013" spans="1:226" s="2485" customFormat="1" ht="15" hidden="1" customHeight="1">
      <c r="A1013" s="3112"/>
      <c r="B1013" s="3113"/>
      <c r="C1013" s="3114"/>
      <c r="D1013" s="3134"/>
      <c r="E1013" s="2489"/>
      <c r="F1013" s="2490">
        <f>SUM(G1013:J1013)</f>
        <v>0</v>
      </c>
      <c r="G1013" s="2490"/>
      <c r="H1013" s="2490"/>
      <c r="I1013" s="2490"/>
      <c r="J1013" s="2491"/>
      <c r="K1013" s="2482"/>
    </row>
    <row r="1014" spans="1:226" s="2485" customFormat="1" ht="15" hidden="1" customHeight="1">
      <c r="A1014" s="3112"/>
      <c r="B1014" s="3113"/>
      <c r="C1014" s="3114"/>
      <c r="D1014" s="3134"/>
      <c r="E1014" s="2489"/>
      <c r="F1014" s="2490">
        <f>SUM(G1014:J1014)</f>
        <v>0</v>
      </c>
      <c r="G1014" s="2490"/>
      <c r="H1014" s="2490"/>
      <c r="I1014" s="2490"/>
      <c r="J1014" s="2491"/>
      <c r="K1014" s="2482"/>
    </row>
    <row r="1015" spans="1:226" s="2485" customFormat="1" ht="15" hidden="1" customHeight="1">
      <c r="A1015" s="3112"/>
      <c r="B1015" s="3113"/>
      <c r="C1015" s="3114"/>
      <c r="D1015" s="3134"/>
      <c r="E1015" s="2497" t="s">
        <v>1094</v>
      </c>
      <c r="F1015" s="2498">
        <f>SUM(F1016:F1017)</f>
        <v>0</v>
      </c>
      <c r="G1015" s="2498">
        <f>SUM(G1016:G1017)</f>
        <v>0</v>
      </c>
      <c r="H1015" s="2498">
        <f>SUM(H1016:H1017)</f>
        <v>0</v>
      </c>
      <c r="I1015" s="2498">
        <f>SUM(I1016:I1017)</f>
        <v>0</v>
      </c>
      <c r="J1015" s="2499">
        <f>SUM(J1016:J1017)</f>
        <v>0</v>
      </c>
      <c r="K1015" s="2482"/>
    </row>
    <row r="1016" spans="1:226" s="2485" customFormat="1" ht="15" hidden="1" customHeight="1">
      <c r="A1016" s="3112"/>
      <c r="B1016" s="3113"/>
      <c r="C1016" s="3114"/>
      <c r="D1016" s="3134"/>
      <c r="E1016" s="2489"/>
      <c r="F1016" s="2490">
        <f>SUM(G1016:J1016)</f>
        <v>0</v>
      </c>
      <c r="G1016" s="2490"/>
      <c r="H1016" s="2490"/>
      <c r="I1016" s="2490"/>
      <c r="J1016" s="2491"/>
      <c r="K1016" s="2482"/>
    </row>
    <row r="1017" spans="1:226" s="2485" customFormat="1" ht="15" hidden="1" customHeight="1">
      <c r="A1017" s="3112"/>
      <c r="B1017" s="3113"/>
      <c r="C1017" s="3114"/>
      <c r="D1017" s="3134"/>
      <c r="E1017" s="2489"/>
      <c r="F1017" s="2490">
        <f>SUM(G1017:J1017)</f>
        <v>0</v>
      </c>
      <c r="G1017" s="2490"/>
      <c r="H1017" s="2490"/>
      <c r="I1017" s="2490"/>
      <c r="J1017" s="2491"/>
      <c r="K1017" s="2482"/>
    </row>
    <row r="1018" spans="1:226" s="2485" customFormat="1" ht="15" customHeight="1">
      <c r="A1018" s="3112"/>
      <c r="B1018" s="3113"/>
      <c r="C1018" s="3114"/>
      <c r="D1018" s="3134"/>
      <c r="E1018" s="2492" t="s">
        <v>1087</v>
      </c>
      <c r="F1018" s="2487">
        <f>SUM(F1019:F1024)</f>
        <v>3712200</v>
      </c>
      <c r="G1018" s="2487">
        <f>SUM(G1019:G1024)</f>
        <v>556830</v>
      </c>
      <c r="H1018" s="2487">
        <f>SUM(H1019:H1024)</f>
        <v>3155370</v>
      </c>
      <c r="I1018" s="2487">
        <f>SUM(I1019:I1024)</f>
        <v>0</v>
      </c>
      <c r="J1018" s="2488">
        <f>SUM(J1019:J1024)</f>
        <v>0</v>
      </c>
      <c r="K1018" s="2482"/>
      <c r="L1018" s="2484"/>
      <c r="M1018" s="2484"/>
      <c r="N1018" s="2484"/>
      <c r="O1018" s="2484"/>
      <c r="P1018" s="2484"/>
      <c r="Q1018" s="2484"/>
      <c r="R1018" s="2484"/>
      <c r="S1018" s="2484"/>
      <c r="T1018" s="2484"/>
      <c r="U1018" s="2484"/>
      <c r="V1018" s="2484"/>
      <c r="W1018" s="2484"/>
      <c r="X1018" s="2484"/>
      <c r="Y1018" s="2484"/>
      <c r="Z1018" s="2484"/>
      <c r="AA1018" s="2484"/>
      <c r="AB1018" s="2484"/>
      <c r="AC1018" s="2484"/>
      <c r="AD1018" s="2484"/>
      <c r="AE1018" s="2484"/>
      <c r="AF1018" s="2484"/>
      <c r="AG1018" s="2484"/>
      <c r="AH1018" s="2484"/>
      <c r="AI1018" s="2484"/>
      <c r="AJ1018" s="2484"/>
      <c r="AK1018" s="2484"/>
      <c r="AL1018" s="2484"/>
      <c r="AM1018" s="2484"/>
      <c r="AN1018" s="2484"/>
      <c r="AO1018" s="2484"/>
      <c r="AP1018" s="2484"/>
      <c r="AQ1018" s="2484"/>
      <c r="AR1018" s="2484"/>
      <c r="AS1018" s="2484"/>
      <c r="AT1018" s="2484"/>
      <c r="AU1018" s="2484"/>
      <c r="AV1018" s="2484"/>
      <c r="AW1018" s="2484"/>
      <c r="AX1018" s="2484"/>
      <c r="AY1018" s="2484"/>
      <c r="AZ1018" s="2484"/>
      <c r="BA1018" s="2484"/>
      <c r="BB1018" s="2484"/>
      <c r="BC1018" s="2484"/>
      <c r="BD1018" s="2484"/>
      <c r="BE1018" s="2484"/>
      <c r="BF1018" s="2484"/>
      <c r="BG1018" s="2484"/>
      <c r="BH1018" s="2484"/>
      <c r="BI1018" s="2484"/>
      <c r="BJ1018" s="2484"/>
      <c r="BK1018" s="2484"/>
      <c r="BL1018" s="2484"/>
      <c r="BM1018" s="2484"/>
      <c r="BN1018" s="2484"/>
      <c r="BO1018" s="2484"/>
      <c r="BP1018" s="2484"/>
      <c r="BQ1018" s="2484"/>
      <c r="BR1018" s="2484"/>
      <c r="BS1018" s="2484"/>
      <c r="BT1018" s="2484"/>
      <c r="BU1018" s="2484"/>
      <c r="BV1018" s="2484"/>
      <c r="BW1018" s="2484"/>
      <c r="BX1018" s="2484"/>
      <c r="BY1018" s="2484"/>
      <c r="BZ1018" s="2484"/>
      <c r="CA1018" s="2484"/>
      <c r="CB1018" s="2484"/>
      <c r="CC1018" s="2484"/>
      <c r="CD1018" s="2484"/>
      <c r="CE1018" s="2484"/>
      <c r="CF1018" s="2484"/>
      <c r="CG1018" s="2484"/>
      <c r="CH1018" s="2484"/>
      <c r="CI1018" s="2484"/>
      <c r="CJ1018" s="2484"/>
      <c r="CK1018" s="2484"/>
      <c r="CL1018" s="2484"/>
      <c r="CM1018" s="2484"/>
      <c r="CN1018" s="2484"/>
      <c r="CO1018" s="2484"/>
      <c r="CP1018" s="2484"/>
      <c r="CQ1018" s="2484"/>
      <c r="CR1018" s="2484"/>
      <c r="CS1018" s="2484"/>
      <c r="CT1018" s="2484"/>
      <c r="CU1018" s="2484"/>
      <c r="CV1018" s="2484"/>
      <c r="CW1018" s="2484"/>
      <c r="CX1018" s="2484"/>
      <c r="CY1018" s="2484"/>
      <c r="CZ1018" s="2484"/>
      <c r="DA1018" s="2484"/>
      <c r="DB1018" s="2484"/>
      <c r="DC1018" s="2484"/>
      <c r="DD1018" s="2484"/>
      <c r="DE1018" s="2484"/>
      <c r="DF1018" s="2484"/>
      <c r="DG1018" s="2484"/>
      <c r="DH1018" s="2484"/>
      <c r="DI1018" s="2484"/>
      <c r="DJ1018" s="2484"/>
      <c r="DK1018" s="2484"/>
      <c r="DL1018" s="2484"/>
      <c r="DM1018" s="2484"/>
      <c r="DN1018" s="2484"/>
      <c r="DO1018" s="2484"/>
      <c r="DP1018" s="2484"/>
      <c r="DQ1018" s="2484"/>
      <c r="DR1018" s="2484"/>
      <c r="DS1018" s="2484"/>
      <c r="DT1018" s="2484"/>
      <c r="DU1018" s="2484"/>
      <c r="DV1018" s="2484"/>
      <c r="DW1018" s="2484"/>
      <c r="DX1018" s="2484"/>
      <c r="DY1018" s="2484"/>
      <c r="DZ1018" s="2484"/>
      <c r="EA1018" s="2484"/>
      <c r="EB1018" s="2484"/>
      <c r="EC1018" s="2484"/>
      <c r="ED1018" s="2484"/>
      <c r="EE1018" s="2484"/>
      <c r="EF1018" s="2484"/>
      <c r="EG1018" s="2484"/>
      <c r="EH1018" s="2484"/>
      <c r="EI1018" s="2484"/>
      <c r="EJ1018" s="2484"/>
      <c r="EK1018" s="2484"/>
      <c r="EL1018" s="2484"/>
      <c r="EM1018" s="2484"/>
      <c r="EN1018" s="2484"/>
      <c r="EO1018" s="2484"/>
      <c r="EP1018" s="2484"/>
      <c r="EQ1018" s="2484"/>
      <c r="ER1018" s="2484"/>
      <c r="ES1018" s="2484"/>
      <c r="ET1018" s="2484"/>
      <c r="EU1018" s="2484"/>
      <c r="EV1018" s="2484"/>
      <c r="EW1018" s="2484"/>
      <c r="EX1018" s="2484"/>
      <c r="EY1018" s="2484"/>
      <c r="EZ1018" s="2484"/>
      <c r="FA1018" s="2484"/>
      <c r="FB1018" s="2484"/>
      <c r="FC1018" s="2484"/>
      <c r="FD1018" s="2484"/>
      <c r="FE1018" s="2484"/>
      <c r="FF1018" s="2484"/>
      <c r="FG1018" s="2484"/>
      <c r="FH1018" s="2484"/>
      <c r="FI1018" s="2484"/>
      <c r="FJ1018" s="2484"/>
      <c r="FK1018" s="2484"/>
      <c r="FL1018" s="2484"/>
      <c r="FM1018" s="2484"/>
      <c r="FN1018" s="2484"/>
      <c r="FO1018" s="2484"/>
      <c r="FP1018" s="2484"/>
      <c r="FQ1018" s="2484"/>
      <c r="FR1018" s="2484"/>
      <c r="FS1018" s="2484"/>
      <c r="FT1018" s="2484"/>
      <c r="FU1018" s="2484"/>
      <c r="FV1018" s="2484"/>
      <c r="FW1018" s="2484"/>
      <c r="FX1018" s="2484"/>
      <c r="FY1018" s="2484"/>
      <c r="FZ1018" s="2484"/>
      <c r="GA1018" s="2484"/>
      <c r="GB1018" s="2484"/>
      <c r="GC1018" s="2484"/>
      <c r="GD1018" s="2484"/>
      <c r="GE1018" s="2484"/>
      <c r="GF1018" s="2484"/>
      <c r="GG1018" s="2484"/>
      <c r="GH1018" s="2484"/>
      <c r="GI1018" s="2484"/>
      <c r="GJ1018" s="2484"/>
      <c r="GK1018" s="2484"/>
      <c r="GL1018" s="2484"/>
      <c r="GM1018" s="2484"/>
      <c r="GN1018" s="2484"/>
      <c r="GO1018" s="2484"/>
      <c r="GP1018" s="2484"/>
      <c r="GQ1018" s="2484"/>
      <c r="GR1018" s="2484"/>
      <c r="GS1018" s="2484"/>
      <c r="GT1018" s="2484"/>
      <c r="GU1018" s="2484"/>
      <c r="GV1018" s="2484"/>
      <c r="GW1018" s="2484"/>
      <c r="GX1018" s="2484"/>
      <c r="GY1018" s="2484"/>
      <c r="GZ1018" s="2484"/>
      <c r="HA1018" s="2484"/>
      <c r="HB1018" s="2484"/>
      <c r="HC1018" s="2484"/>
      <c r="HD1018" s="2484"/>
      <c r="HE1018" s="2484"/>
      <c r="HF1018" s="2484"/>
      <c r="HG1018" s="2484"/>
      <c r="HH1018" s="2484"/>
      <c r="HI1018" s="2484"/>
      <c r="HJ1018" s="2484"/>
      <c r="HK1018" s="2484"/>
      <c r="HL1018" s="2484"/>
      <c r="HM1018" s="2484"/>
      <c r="HN1018" s="2484"/>
      <c r="HO1018" s="2484"/>
      <c r="HP1018" s="2484"/>
      <c r="HQ1018" s="2484"/>
      <c r="HR1018" s="2484"/>
    </row>
    <row r="1019" spans="1:226" s="2485" customFormat="1" ht="15" hidden="1" customHeight="1">
      <c r="A1019" s="3112"/>
      <c r="B1019" s="3113"/>
      <c r="C1019" s="3114"/>
      <c r="D1019" s="3134"/>
      <c r="E1019" s="2489" t="s">
        <v>582</v>
      </c>
      <c r="F1019" s="2490">
        <f t="shared" ref="F1019:F1024" si="97">SUM(G1019:J1019)</f>
        <v>0</v>
      </c>
      <c r="G1019" s="2490"/>
      <c r="H1019" s="2490"/>
      <c r="I1019" s="2490"/>
      <c r="J1019" s="2491"/>
      <c r="K1019" s="2482"/>
    </row>
    <row r="1020" spans="1:226" s="2485" customFormat="1" ht="15" customHeight="1">
      <c r="A1020" s="3112"/>
      <c r="B1020" s="3113"/>
      <c r="C1020" s="3114"/>
      <c r="D1020" s="3134"/>
      <c r="E1020" s="2503">
        <v>6057</v>
      </c>
      <c r="F1020" s="2490">
        <f t="shared" si="97"/>
        <v>2985370</v>
      </c>
      <c r="G1020" s="2490"/>
      <c r="H1020" s="2490">
        <v>2985370</v>
      </c>
      <c r="I1020" s="2490"/>
      <c r="J1020" s="2491"/>
      <c r="K1020" s="2482"/>
    </row>
    <row r="1021" spans="1:226" s="2485" customFormat="1" ht="15" customHeight="1">
      <c r="A1021" s="3112"/>
      <c r="B1021" s="3113"/>
      <c r="C1021" s="3114"/>
      <c r="D1021" s="3134"/>
      <c r="E1021" s="2503">
        <v>6059</v>
      </c>
      <c r="F1021" s="2490">
        <f t="shared" si="97"/>
        <v>526830</v>
      </c>
      <c r="G1021" s="2490">
        <v>526830</v>
      </c>
      <c r="H1021" s="2490"/>
      <c r="I1021" s="2490"/>
      <c r="J1021" s="2491"/>
      <c r="K1021" s="2482"/>
    </row>
    <row r="1022" spans="1:226" s="2485" customFormat="1" ht="15" hidden="1" customHeight="1">
      <c r="A1022" s="3112"/>
      <c r="B1022" s="3113"/>
      <c r="C1022" s="3114"/>
      <c r="D1022" s="3134"/>
      <c r="E1022" s="2503">
        <v>6060</v>
      </c>
      <c r="F1022" s="2490">
        <f t="shared" si="97"/>
        <v>0</v>
      </c>
      <c r="G1022" s="2490"/>
      <c r="H1022" s="2490"/>
      <c r="I1022" s="2490"/>
      <c r="J1022" s="2491"/>
      <c r="K1022" s="2482"/>
    </row>
    <row r="1023" spans="1:226" s="2485" customFormat="1" ht="15" customHeight="1">
      <c r="A1023" s="3112"/>
      <c r="B1023" s="3113"/>
      <c r="C1023" s="3114"/>
      <c r="D1023" s="3134"/>
      <c r="E1023" s="2489" t="s">
        <v>655</v>
      </c>
      <c r="F1023" s="2490">
        <f t="shared" si="97"/>
        <v>170000</v>
      </c>
      <c r="G1023" s="2490"/>
      <c r="H1023" s="2490">
        <v>170000</v>
      </c>
      <c r="I1023" s="2490"/>
      <c r="J1023" s="2491"/>
      <c r="K1023" s="2482"/>
    </row>
    <row r="1024" spans="1:226" s="2485" customFormat="1" ht="15" customHeight="1">
      <c r="A1024" s="3112"/>
      <c r="B1024" s="3113"/>
      <c r="C1024" s="3114"/>
      <c r="D1024" s="3134"/>
      <c r="E1024" s="2503">
        <v>6069</v>
      </c>
      <c r="F1024" s="2490">
        <f t="shared" si="97"/>
        <v>30000</v>
      </c>
      <c r="G1024" s="2490">
        <v>30000</v>
      </c>
      <c r="H1024" s="2490"/>
      <c r="I1024" s="2490"/>
      <c r="J1024" s="2491"/>
      <c r="K1024" s="2482"/>
    </row>
    <row r="1025" spans="1:226" s="2485" customFormat="1" ht="22.5">
      <c r="A1025" s="3112" t="s">
        <v>1134</v>
      </c>
      <c r="B1025" s="3113" t="s">
        <v>1180</v>
      </c>
      <c r="C1025" s="3114">
        <v>600</v>
      </c>
      <c r="D1025" s="3134" t="s">
        <v>682</v>
      </c>
      <c r="E1025" s="2479" t="s">
        <v>1086</v>
      </c>
      <c r="F1025" s="2480">
        <f>SUM(F1026,F1033)</f>
        <v>30909097</v>
      </c>
      <c r="G1025" s="2480">
        <f>SUM(G1026,G1033)</f>
        <v>5017165</v>
      </c>
      <c r="H1025" s="2480">
        <f>SUM(H1026,H1033)</f>
        <v>25891932</v>
      </c>
      <c r="I1025" s="2480">
        <f>SUM(I1026,I1033)</f>
        <v>0</v>
      </c>
      <c r="J1025" s="2481">
        <f>SUM(J1026,J1033)</f>
        <v>0</v>
      </c>
      <c r="K1025" s="2482"/>
    </row>
    <row r="1026" spans="1:226" s="2485" customFormat="1" ht="15" customHeight="1">
      <c r="A1026" s="3112"/>
      <c r="B1026" s="3113"/>
      <c r="C1026" s="3114"/>
      <c r="D1026" s="3134"/>
      <c r="E1026" s="2486" t="s">
        <v>739</v>
      </c>
      <c r="F1026" s="2487">
        <f>SUM(F1027,F1030)</f>
        <v>0</v>
      </c>
      <c r="G1026" s="2487">
        <f>SUM(G1027,G1030)</f>
        <v>0</v>
      </c>
      <c r="H1026" s="2487">
        <f>SUM(H1027,H1030)</f>
        <v>0</v>
      </c>
      <c r="I1026" s="2487">
        <f>SUM(I1027,I1030)</f>
        <v>0</v>
      </c>
      <c r="J1026" s="2488">
        <f>SUM(J1027,J1030)</f>
        <v>0</v>
      </c>
      <c r="K1026" s="2482"/>
    </row>
    <row r="1027" spans="1:226" s="2485" customFormat="1" ht="15" hidden="1" customHeight="1">
      <c r="A1027" s="3112"/>
      <c r="B1027" s="3113"/>
      <c r="C1027" s="3114"/>
      <c r="D1027" s="3134"/>
      <c r="E1027" s="2497" t="s">
        <v>1093</v>
      </c>
      <c r="F1027" s="2498">
        <f>SUM(F1028:F1029)</f>
        <v>0</v>
      </c>
      <c r="G1027" s="2498">
        <f>SUM(G1028:G1029)</f>
        <v>0</v>
      </c>
      <c r="H1027" s="2498">
        <f>SUM(H1028:H1029)</f>
        <v>0</v>
      </c>
      <c r="I1027" s="2498">
        <f>SUM(I1028:I1029)</f>
        <v>0</v>
      </c>
      <c r="J1027" s="2499">
        <f>SUM(J1028:J1029)</f>
        <v>0</v>
      </c>
      <c r="K1027" s="2482"/>
    </row>
    <row r="1028" spans="1:226" s="2485" customFormat="1" ht="15" hidden="1" customHeight="1">
      <c r="A1028" s="3112"/>
      <c r="B1028" s="3113"/>
      <c r="C1028" s="3114"/>
      <c r="D1028" s="3134"/>
      <c r="E1028" s="2489"/>
      <c r="F1028" s="2490">
        <f>SUM(G1028:J1028)</f>
        <v>0</v>
      </c>
      <c r="G1028" s="2490"/>
      <c r="H1028" s="2490"/>
      <c r="I1028" s="2490"/>
      <c r="J1028" s="2491"/>
      <c r="K1028" s="2482"/>
    </row>
    <row r="1029" spans="1:226" s="2485" customFormat="1" ht="15" hidden="1" customHeight="1">
      <c r="A1029" s="3112"/>
      <c r="B1029" s="3113"/>
      <c r="C1029" s="3114"/>
      <c r="D1029" s="3134"/>
      <c r="E1029" s="2489"/>
      <c r="F1029" s="2490">
        <f>SUM(G1029:J1029)</f>
        <v>0</v>
      </c>
      <c r="G1029" s="2490"/>
      <c r="H1029" s="2490"/>
      <c r="I1029" s="2490"/>
      <c r="J1029" s="2491"/>
      <c r="K1029" s="2482"/>
    </row>
    <row r="1030" spans="1:226" s="2485" customFormat="1" ht="15" hidden="1" customHeight="1">
      <c r="A1030" s="3112"/>
      <c r="B1030" s="3113"/>
      <c r="C1030" s="3114"/>
      <c r="D1030" s="3134"/>
      <c r="E1030" s="2497" t="s">
        <v>1094</v>
      </c>
      <c r="F1030" s="2498">
        <f>SUM(F1031:F1032)</f>
        <v>0</v>
      </c>
      <c r="G1030" s="2498">
        <f>SUM(G1031:G1032)</f>
        <v>0</v>
      </c>
      <c r="H1030" s="2498">
        <f>SUM(H1031:H1032)</f>
        <v>0</v>
      </c>
      <c r="I1030" s="2498">
        <f>SUM(I1031:I1032)</f>
        <v>0</v>
      </c>
      <c r="J1030" s="2499">
        <f>SUM(J1031:J1032)</f>
        <v>0</v>
      </c>
      <c r="K1030" s="2482"/>
    </row>
    <row r="1031" spans="1:226" s="2485" customFormat="1" ht="15" hidden="1" customHeight="1">
      <c r="A1031" s="3112"/>
      <c r="B1031" s="3113"/>
      <c r="C1031" s="3114"/>
      <c r="D1031" s="3134"/>
      <c r="E1031" s="2489"/>
      <c r="F1031" s="2490">
        <f>SUM(G1031:J1031)</f>
        <v>0</v>
      </c>
      <c r="G1031" s="2490"/>
      <c r="H1031" s="2490"/>
      <c r="I1031" s="2490"/>
      <c r="J1031" s="2491"/>
      <c r="K1031" s="2482"/>
    </row>
    <row r="1032" spans="1:226" s="2485" customFormat="1" ht="15" hidden="1" customHeight="1">
      <c r="A1032" s="3112"/>
      <c r="B1032" s="3113"/>
      <c r="C1032" s="3114"/>
      <c r="D1032" s="3134"/>
      <c r="E1032" s="2489"/>
      <c r="F1032" s="2490">
        <f>SUM(G1032:J1032)</f>
        <v>0</v>
      </c>
      <c r="G1032" s="2490"/>
      <c r="H1032" s="2490"/>
      <c r="I1032" s="2490"/>
      <c r="J1032" s="2491"/>
      <c r="K1032" s="2482"/>
    </row>
    <row r="1033" spans="1:226" s="2485" customFormat="1" ht="15" customHeight="1">
      <c r="A1033" s="3112"/>
      <c r="B1033" s="3113"/>
      <c r="C1033" s="3114"/>
      <c r="D1033" s="3134"/>
      <c r="E1033" s="2492" t="s">
        <v>1087</v>
      </c>
      <c r="F1033" s="2487">
        <f>SUM(F1034:F1039)</f>
        <v>30909097</v>
      </c>
      <c r="G1033" s="2487">
        <f>SUM(G1034:G1039)</f>
        <v>5017165</v>
      </c>
      <c r="H1033" s="2487">
        <f>SUM(H1034:H1039)</f>
        <v>25891932</v>
      </c>
      <c r="I1033" s="2487">
        <f>SUM(I1034:I1039)</f>
        <v>0</v>
      </c>
      <c r="J1033" s="2488">
        <f>SUM(J1034:J1039)</f>
        <v>0</v>
      </c>
      <c r="K1033" s="2482"/>
      <c r="L1033" s="2484"/>
      <c r="M1033" s="2484"/>
      <c r="N1033" s="2484"/>
      <c r="O1033" s="2484"/>
      <c r="P1033" s="2484"/>
      <c r="Q1033" s="2484"/>
      <c r="R1033" s="2484"/>
      <c r="S1033" s="2484"/>
      <c r="T1033" s="2484"/>
      <c r="U1033" s="2484"/>
      <c r="V1033" s="2484"/>
      <c r="W1033" s="2484"/>
      <c r="X1033" s="2484"/>
      <c r="Y1033" s="2484"/>
      <c r="Z1033" s="2484"/>
      <c r="AA1033" s="2484"/>
      <c r="AB1033" s="2484"/>
      <c r="AC1033" s="2484"/>
      <c r="AD1033" s="2484"/>
      <c r="AE1033" s="2484"/>
      <c r="AF1033" s="2484"/>
      <c r="AG1033" s="2484"/>
      <c r="AH1033" s="2484"/>
      <c r="AI1033" s="2484"/>
      <c r="AJ1033" s="2484"/>
      <c r="AK1033" s="2484"/>
      <c r="AL1033" s="2484"/>
      <c r="AM1033" s="2484"/>
      <c r="AN1033" s="2484"/>
      <c r="AO1033" s="2484"/>
      <c r="AP1033" s="2484"/>
      <c r="AQ1033" s="2484"/>
      <c r="AR1033" s="2484"/>
      <c r="AS1033" s="2484"/>
      <c r="AT1033" s="2484"/>
      <c r="AU1033" s="2484"/>
      <c r="AV1033" s="2484"/>
      <c r="AW1033" s="2484"/>
      <c r="AX1033" s="2484"/>
      <c r="AY1033" s="2484"/>
      <c r="AZ1033" s="2484"/>
      <c r="BA1033" s="2484"/>
      <c r="BB1033" s="2484"/>
      <c r="BC1033" s="2484"/>
      <c r="BD1033" s="2484"/>
      <c r="BE1033" s="2484"/>
      <c r="BF1033" s="2484"/>
      <c r="BG1033" s="2484"/>
      <c r="BH1033" s="2484"/>
      <c r="BI1033" s="2484"/>
      <c r="BJ1033" s="2484"/>
      <c r="BK1033" s="2484"/>
      <c r="BL1033" s="2484"/>
      <c r="BM1033" s="2484"/>
      <c r="BN1033" s="2484"/>
      <c r="BO1033" s="2484"/>
      <c r="BP1033" s="2484"/>
      <c r="BQ1033" s="2484"/>
      <c r="BR1033" s="2484"/>
      <c r="BS1033" s="2484"/>
      <c r="BT1033" s="2484"/>
      <c r="BU1033" s="2484"/>
      <c r="BV1033" s="2484"/>
      <c r="BW1033" s="2484"/>
      <c r="BX1033" s="2484"/>
      <c r="BY1033" s="2484"/>
      <c r="BZ1033" s="2484"/>
      <c r="CA1033" s="2484"/>
      <c r="CB1033" s="2484"/>
      <c r="CC1033" s="2484"/>
      <c r="CD1033" s="2484"/>
      <c r="CE1033" s="2484"/>
      <c r="CF1033" s="2484"/>
      <c r="CG1033" s="2484"/>
      <c r="CH1033" s="2484"/>
      <c r="CI1033" s="2484"/>
      <c r="CJ1033" s="2484"/>
      <c r="CK1033" s="2484"/>
      <c r="CL1033" s="2484"/>
      <c r="CM1033" s="2484"/>
      <c r="CN1033" s="2484"/>
      <c r="CO1033" s="2484"/>
      <c r="CP1033" s="2484"/>
      <c r="CQ1033" s="2484"/>
      <c r="CR1033" s="2484"/>
      <c r="CS1033" s="2484"/>
      <c r="CT1033" s="2484"/>
      <c r="CU1033" s="2484"/>
      <c r="CV1033" s="2484"/>
      <c r="CW1033" s="2484"/>
      <c r="CX1033" s="2484"/>
      <c r="CY1033" s="2484"/>
      <c r="CZ1033" s="2484"/>
      <c r="DA1033" s="2484"/>
      <c r="DB1033" s="2484"/>
      <c r="DC1033" s="2484"/>
      <c r="DD1033" s="2484"/>
      <c r="DE1033" s="2484"/>
      <c r="DF1033" s="2484"/>
      <c r="DG1033" s="2484"/>
      <c r="DH1033" s="2484"/>
      <c r="DI1033" s="2484"/>
      <c r="DJ1033" s="2484"/>
      <c r="DK1033" s="2484"/>
      <c r="DL1033" s="2484"/>
      <c r="DM1033" s="2484"/>
      <c r="DN1033" s="2484"/>
      <c r="DO1033" s="2484"/>
      <c r="DP1033" s="2484"/>
      <c r="DQ1033" s="2484"/>
      <c r="DR1033" s="2484"/>
      <c r="DS1033" s="2484"/>
      <c r="DT1033" s="2484"/>
      <c r="DU1033" s="2484"/>
      <c r="DV1033" s="2484"/>
      <c r="DW1033" s="2484"/>
      <c r="DX1033" s="2484"/>
      <c r="DY1033" s="2484"/>
      <c r="DZ1033" s="2484"/>
      <c r="EA1033" s="2484"/>
      <c r="EB1033" s="2484"/>
      <c r="EC1033" s="2484"/>
      <c r="ED1033" s="2484"/>
      <c r="EE1033" s="2484"/>
      <c r="EF1033" s="2484"/>
      <c r="EG1033" s="2484"/>
      <c r="EH1033" s="2484"/>
      <c r="EI1033" s="2484"/>
      <c r="EJ1033" s="2484"/>
      <c r="EK1033" s="2484"/>
      <c r="EL1033" s="2484"/>
      <c r="EM1033" s="2484"/>
      <c r="EN1033" s="2484"/>
      <c r="EO1033" s="2484"/>
      <c r="EP1033" s="2484"/>
      <c r="EQ1033" s="2484"/>
      <c r="ER1033" s="2484"/>
      <c r="ES1033" s="2484"/>
      <c r="ET1033" s="2484"/>
      <c r="EU1033" s="2484"/>
      <c r="EV1033" s="2484"/>
      <c r="EW1033" s="2484"/>
      <c r="EX1033" s="2484"/>
      <c r="EY1033" s="2484"/>
      <c r="EZ1033" s="2484"/>
      <c r="FA1033" s="2484"/>
      <c r="FB1033" s="2484"/>
      <c r="FC1033" s="2484"/>
      <c r="FD1033" s="2484"/>
      <c r="FE1033" s="2484"/>
      <c r="FF1033" s="2484"/>
      <c r="FG1033" s="2484"/>
      <c r="FH1033" s="2484"/>
      <c r="FI1033" s="2484"/>
      <c r="FJ1033" s="2484"/>
      <c r="FK1033" s="2484"/>
      <c r="FL1033" s="2484"/>
      <c r="FM1033" s="2484"/>
      <c r="FN1033" s="2484"/>
      <c r="FO1033" s="2484"/>
      <c r="FP1033" s="2484"/>
      <c r="FQ1033" s="2484"/>
      <c r="FR1033" s="2484"/>
      <c r="FS1033" s="2484"/>
      <c r="FT1033" s="2484"/>
      <c r="FU1033" s="2484"/>
      <c r="FV1033" s="2484"/>
      <c r="FW1033" s="2484"/>
      <c r="FX1033" s="2484"/>
      <c r="FY1033" s="2484"/>
      <c r="FZ1033" s="2484"/>
      <c r="GA1033" s="2484"/>
      <c r="GB1033" s="2484"/>
      <c r="GC1033" s="2484"/>
      <c r="GD1033" s="2484"/>
      <c r="GE1033" s="2484"/>
      <c r="GF1033" s="2484"/>
      <c r="GG1033" s="2484"/>
      <c r="GH1033" s="2484"/>
      <c r="GI1033" s="2484"/>
      <c r="GJ1033" s="2484"/>
      <c r="GK1033" s="2484"/>
      <c r="GL1033" s="2484"/>
      <c r="GM1033" s="2484"/>
      <c r="GN1033" s="2484"/>
      <c r="GO1033" s="2484"/>
      <c r="GP1033" s="2484"/>
      <c r="GQ1033" s="2484"/>
      <c r="GR1033" s="2484"/>
      <c r="GS1033" s="2484"/>
      <c r="GT1033" s="2484"/>
      <c r="GU1033" s="2484"/>
      <c r="GV1033" s="2484"/>
      <c r="GW1033" s="2484"/>
      <c r="GX1033" s="2484"/>
      <c r="GY1033" s="2484"/>
      <c r="GZ1033" s="2484"/>
      <c r="HA1033" s="2484"/>
      <c r="HB1033" s="2484"/>
      <c r="HC1033" s="2484"/>
      <c r="HD1033" s="2484"/>
      <c r="HE1033" s="2484"/>
      <c r="HF1033" s="2484"/>
      <c r="HG1033" s="2484"/>
      <c r="HH1033" s="2484"/>
      <c r="HI1033" s="2484"/>
      <c r="HJ1033" s="2484"/>
      <c r="HK1033" s="2484"/>
      <c r="HL1033" s="2484"/>
      <c r="HM1033" s="2484"/>
      <c r="HN1033" s="2484"/>
      <c r="HO1033" s="2484"/>
      <c r="HP1033" s="2484"/>
      <c r="HQ1033" s="2484"/>
      <c r="HR1033" s="2484"/>
    </row>
    <row r="1034" spans="1:226" s="2485" customFormat="1" ht="15" customHeight="1">
      <c r="A1034" s="3112"/>
      <c r="B1034" s="3113"/>
      <c r="C1034" s="3114"/>
      <c r="D1034" s="3134"/>
      <c r="E1034" s="2489" t="s">
        <v>582</v>
      </c>
      <c r="F1034" s="2490">
        <f t="shared" ref="F1034:F1039" si="98">SUM(G1034:J1034)</f>
        <v>448000</v>
      </c>
      <c r="G1034" s="2490">
        <v>448000</v>
      </c>
      <c r="H1034" s="2490"/>
      <c r="I1034" s="2490"/>
      <c r="J1034" s="2491"/>
      <c r="K1034" s="2495"/>
    </row>
    <row r="1035" spans="1:226" s="2485" customFormat="1" ht="15" customHeight="1">
      <c r="A1035" s="3112"/>
      <c r="B1035" s="3113"/>
      <c r="C1035" s="3114"/>
      <c r="D1035" s="3134"/>
      <c r="E1035" s="2503">
        <v>6057</v>
      </c>
      <c r="F1035" s="2490">
        <f t="shared" si="98"/>
        <v>25891932</v>
      </c>
      <c r="G1035" s="2490"/>
      <c r="H1035" s="2490">
        <f>25866432+25500</f>
        <v>25891932</v>
      </c>
      <c r="I1035" s="2490"/>
      <c r="J1035" s="2491"/>
      <c r="K1035" s="2482"/>
    </row>
    <row r="1036" spans="1:226" s="2485" customFormat="1" ht="15" customHeight="1">
      <c r="A1036" s="3112"/>
      <c r="B1036" s="3113"/>
      <c r="C1036" s="3114"/>
      <c r="D1036" s="3134"/>
      <c r="E1036" s="2503">
        <v>6059</v>
      </c>
      <c r="F1036" s="2490">
        <f t="shared" si="98"/>
        <v>4569165</v>
      </c>
      <c r="G1036" s="2490">
        <f>4564665+4500</f>
        <v>4569165</v>
      </c>
      <c r="H1036" s="2490"/>
      <c r="I1036" s="2490"/>
      <c r="J1036" s="2491"/>
      <c r="K1036" s="2482"/>
    </row>
    <row r="1037" spans="1:226" s="2485" customFormat="1" ht="15" hidden="1" customHeight="1">
      <c r="A1037" s="3112"/>
      <c r="B1037" s="3113"/>
      <c r="C1037" s="3114"/>
      <c r="D1037" s="3134"/>
      <c r="E1037" s="2503">
        <v>6060</v>
      </c>
      <c r="F1037" s="2490">
        <f t="shared" si="98"/>
        <v>0</v>
      </c>
      <c r="G1037" s="2490"/>
      <c r="H1037" s="2490"/>
      <c r="I1037" s="2490"/>
      <c r="J1037" s="2491"/>
      <c r="K1037" s="2482"/>
    </row>
    <row r="1038" spans="1:226" s="2485" customFormat="1" ht="15" hidden="1" customHeight="1">
      <c r="A1038" s="3112"/>
      <c r="B1038" s="3113"/>
      <c r="C1038" s="3114"/>
      <c r="D1038" s="3134"/>
      <c r="E1038" s="2489" t="s">
        <v>655</v>
      </c>
      <c r="F1038" s="2490">
        <f t="shared" si="98"/>
        <v>0</v>
      </c>
      <c r="G1038" s="2490"/>
      <c r="H1038" s="2490"/>
      <c r="I1038" s="2490"/>
      <c r="J1038" s="2491"/>
      <c r="K1038" s="2482"/>
    </row>
    <row r="1039" spans="1:226" s="2485" customFormat="1" ht="15" hidden="1" customHeight="1">
      <c r="A1039" s="3112"/>
      <c r="B1039" s="3113"/>
      <c r="C1039" s="3114"/>
      <c r="D1039" s="3134"/>
      <c r="E1039" s="2503">
        <v>6069</v>
      </c>
      <c r="F1039" s="2490">
        <f t="shared" si="98"/>
        <v>0</v>
      </c>
      <c r="G1039" s="2490"/>
      <c r="H1039" s="2490"/>
      <c r="I1039" s="2490"/>
      <c r="J1039" s="2491"/>
      <c r="K1039" s="2482"/>
    </row>
    <row r="1040" spans="1:226" s="2485" customFormat="1" ht="22.5" customHeight="1">
      <c r="A1040" s="3139" t="s">
        <v>1136</v>
      </c>
      <c r="B1040" s="3148" t="s">
        <v>1181</v>
      </c>
      <c r="C1040" s="3115">
        <v>600</v>
      </c>
      <c r="D1040" s="3117" t="s">
        <v>682</v>
      </c>
      <c r="E1040" s="2479" t="s">
        <v>1086</v>
      </c>
      <c r="F1040" s="2480">
        <f>SUM(F1041,F1048)</f>
        <v>13401242</v>
      </c>
      <c r="G1040" s="2480">
        <f>SUM(G1041,G1048)</f>
        <v>9188104</v>
      </c>
      <c r="H1040" s="2480">
        <f>SUM(H1041,H1048)</f>
        <v>0</v>
      </c>
      <c r="I1040" s="2480">
        <f>SUM(I1041,I1048)</f>
        <v>0</v>
      </c>
      <c r="J1040" s="2481">
        <f>SUM(J1041,J1048)</f>
        <v>4213138</v>
      </c>
      <c r="K1040" s="2482"/>
    </row>
    <row r="1041" spans="1:226" s="2485" customFormat="1" ht="15" customHeight="1">
      <c r="A1041" s="3140"/>
      <c r="B1041" s="3149"/>
      <c r="C1041" s="3145"/>
      <c r="D1041" s="3146"/>
      <c r="E1041" s="2486" t="s">
        <v>739</v>
      </c>
      <c r="F1041" s="2487">
        <f>SUM(F1042,F1045)</f>
        <v>0</v>
      </c>
      <c r="G1041" s="2487">
        <f>SUM(G1042,G1045)</f>
        <v>0</v>
      </c>
      <c r="H1041" s="2487">
        <f>SUM(H1042,H1045)</f>
        <v>0</v>
      </c>
      <c r="I1041" s="2487">
        <f>SUM(I1042,I1045)</f>
        <v>0</v>
      </c>
      <c r="J1041" s="2488">
        <f>SUM(J1042,J1045)</f>
        <v>0</v>
      </c>
      <c r="K1041" s="2482"/>
    </row>
    <row r="1042" spans="1:226" s="2485" customFormat="1" ht="15" hidden="1" customHeight="1">
      <c r="A1042" s="3140"/>
      <c r="B1042" s="3149"/>
      <c r="C1042" s="3145"/>
      <c r="D1042" s="3146"/>
      <c r="E1042" s="2497" t="s">
        <v>1093</v>
      </c>
      <c r="F1042" s="2498">
        <f>SUM(F1043:F1044)</f>
        <v>0</v>
      </c>
      <c r="G1042" s="2498">
        <f>SUM(G1043:G1044)</f>
        <v>0</v>
      </c>
      <c r="H1042" s="2498">
        <f>SUM(H1043:H1044)</f>
        <v>0</v>
      </c>
      <c r="I1042" s="2498">
        <f>SUM(I1043:I1044)</f>
        <v>0</v>
      </c>
      <c r="J1042" s="2499">
        <f>SUM(J1043:J1044)</f>
        <v>0</v>
      </c>
      <c r="K1042" s="2482"/>
    </row>
    <row r="1043" spans="1:226" s="2485" customFormat="1" ht="15" hidden="1" customHeight="1">
      <c r="A1043" s="3140"/>
      <c r="B1043" s="3149"/>
      <c r="C1043" s="3145"/>
      <c r="D1043" s="3146"/>
      <c r="E1043" s="2489"/>
      <c r="F1043" s="2490">
        <f>SUM(G1043:J1043)</f>
        <v>0</v>
      </c>
      <c r="G1043" s="2490"/>
      <c r="H1043" s="2490"/>
      <c r="I1043" s="2490"/>
      <c r="J1043" s="2491"/>
      <c r="K1043" s="2482"/>
    </row>
    <row r="1044" spans="1:226" s="2485" customFormat="1" ht="15" hidden="1" customHeight="1">
      <c r="A1044" s="3140"/>
      <c r="B1044" s="3149"/>
      <c r="C1044" s="3145"/>
      <c r="D1044" s="3146"/>
      <c r="E1044" s="2489"/>
      <c r="F1044" s="2490">
        <f>SUM(G1044:J1044)</f>
        <v>0</v>
      </c>
      <c r="G1044" s="2490"/>
      <c r="H1044" s="2490"/>
      <c r="I1044" s="2490"/>
      <c r="J1044" s="2491"/>
      <c r="K1044" s="2482"/>
    </row>
    <row r="1045" spans="1:226" s="2485" customFormat="1" ht="15" hidden="1" customHeight="1">
      <c r="A1045" s="3140"/>
      <c r="B1045" s="3149"/>
      <c r="C1045" s="3145"/>
      <c r="D1045" s="3146"/>
      <c r="E1045" s="2497" t="s">
        <v>1094</v>
      </c>
      <c r="F1045" s="2498">
        <f>SUM(F1046:F1047)</f>
        <v>0</v>
      </c>
      <c r="G1045" s="2498">
        <f>SUM(G1046:G1047)</f>
        <v>0</v>
      </c>
      <c r="H1045" s="2498">
        <f>SUM(H1046:H1047)</f>
        <v>0</v>
      </c>
      <c r="I1045" s="2498">
        <f>SUM(I1046:I1047)</f>
        <v>0</v>
      </c>
      <c r="J1045" s="2499">
        <f>SUM(J1046:J1047)</f>
        <v>0</v>
      </c>
      <c r="K1045" s="2482"/>
    </row>
    <row r="1046" spans="1:226" s="2485" customFormat="1" ht="15" hidden="1" customHeight="1">
      <c r="A1046" s="3140"/>
      <c r="B1046" s="3149"/>
      <c r="C1046" s="3145"/>
      <c r="D1046" s="3146"/>
      <c r="E1046" s="2489"/>
      <c r="F1046" s="2490">
        <f>SUM(G1046:J1046)</f>
        <v>0</v>
      </c>
      <c r="G1046" s="2490"/>
      <c r="H1046" s="2490"/>
      <c r="I1046" s="2490"/>
      <c r="J1046" s="2491"/>
      <c r="K1046" s="2482"/>
    </row>
    <row r="1047" spans="1:226" s="2485" customFormat="1" ht="15" hidden="1" customHeight="1">
      <c r="A1047" s="3140"/>
      <c r="B1047" s="3149"/>
      <c r="C1047" s="3145"/>
      <c r="D1047" s="3146"/>
      <c r="E1047" s="2489"/>
      <c r="F1047" s="2490">
        <f>SUM(G1047:J1047)</f>
        <v>0</v>
      </c>
      <c r="G1047" s="2490"/>
      <c r="H1047" s="2490"/>
      <c r="I1047" s="2490"/>
      <c r="J1047" s="2491"/>
      <c r="K1047" s="2482"/>
    </row>
    <row r="1048" spans="1:226" s="2485" customFormat="1" ht="15" customHeight="1">
      <c r="A1048" s="3140"/>
      <c r="B1048" s="3149"/>
      <c r="C1048" s="3145"/>
      <c r="D1048" s="3146"/>
      <c r="E1048" s="2492" t="s">
        <v>1087</v>
      </c>
      <c r="F1048" s="2487">
        <f>SUM(F1049:F1054)</f>
        <v>13401242</v>
      </c>
      <c r="G1048" s="2487">
        <f>SUM(G1049:G1054)</f>
        <v>9188104</v>
      </c>
      <c r="H1048" s="2487">
        <f>SUM(H1049:H1054)</f>
        <v>0</v>
      </c>
      <c r="I1048" s="2487">
        <f>SUM(I1049:I1054)</f>
        <v>0</v>
      </c>
      <c r="J1048" s="2488">
        <f>SUM(J1049:J1054)</f>
        <v>4213138</v>
      </c>
      <c r="K1048" s="2482"/>
      <c r="L1048" s="2484"/>
      <c r="M1048" s="2484"/>
      <c r="N1048" s="2484"/>
      <c r="O1048" s="2484"/>
      <c r="P1048" s="2484"/>
      <c r="Q1048" s="2484"/>
      <c r="R1048" s="2484"/>
      <c r="S1048" s="2484"/>
      <c r="T1048" s="2484"/>
      <c r="U1048" s="2484"/>
      <c r="V1048" s="2484"/>
      <c r="W1048" s="2484"/>
      <c r="X1048" s="2484"/>
      <c r="Y1048" s="2484"/>
      <c r="Z1048" s="2484"/>
      <c r="AA1048" s="2484"/>
      <c r="AB1048" s="2484"/>
      <c r="AC1048" s="2484"/>
      <c r="AD1048" s="2484"/>
      <c r="AE1048" s="2484"/>
      <c r="AF1048" s="2484"/>
      <c r="AG1048" s="2484"/>
      <c r="AH1048" s="2484"/>
      <c r="AI1048" s="2484"/>
      <c r="AJ1048" s="2484"/>
      <c r="AK1048" s="2484"/>
      <c r="AL1048" s="2484"/>
      <c r="AM1048" s="2484"/>
      <c r="AN1048" s="2484"/>
      <c r="AO1048" s="2484"/>
      <c r="AP1048" s="2484"/>
      <c r="AQ1048" s="2484"/>
      <c r="AR1048" s="2484"/>
      <c r="AS1048" s="2484"/>
      <c r="AT1048" s="2484"/>
      <c r="AU1048" s="2484"/>
      <c r="AV1048" s="2484"/>
      <c r="AW1048" s="2484"/>
      <c r="AX1048" s="2484"/>
      <c r="AY1048" s="2484"/>
      <c r="AZ1048" s="2484"/>
      <c r="BA1048" s="2484"/>
      <c r="BB1048" s="2484"/>
      <c r="BC1048" s="2484"/>
      <c r="BD1048" s="2484"/>
      <c r="BE1048" s="2484"/>
      <c r="BF1048" s="2484"/>
      <c r="BG1048" s="2484"/>
      <c r="BH1048" s="2484"/>
      <c r="BI1048" s="2484"/>
      <c r="BJ1048" s="2484"/>
      <c r="BK1048" s="2484"/>
      <c r="BL1048" s="2484"/>
      <c r="BM1048" s="2484"/>
      <c r="BN1048" s="2484"/>
      <c r="BO1048" s="2484"/>
      <c r="BP1048" s="2484"/>
      <c r="BQ1048" s="2484"/>
      <c r="BR1048" s="2484"/>
      <c r="BS1048" s="2484"/>
      <c r="BT1048" s="2484"/>
      <c r="BU1048" s="2484"/>
      <c r="BV1048" s="2484"/>
      <c r="BW1048" s="2484"/>
      <c r="BX1048" s="2484"/>
      <c r="BY1048" s="2484"/>
      <c r="BZ1048" s="2484"/>
      <c r="CA1048" s="2484"/>
      <c r="CB1048" s="2484"/>
      <c r="CC1048" s="2484"/>
      <c r="CD1048" s="2484"/>
      <c r="CE1048" s="2484"/>
      <c r="CF1048" s="2484"/>
      <c r="CG1048" s="2484"/>
      <c r="CH1048" s="2484"/>
      <c r="CI1048" s="2484"/>
      <c r="CJ1048" s="2484"/>
      <c r="CK1048" s="2484"/>
      <c r="CL1048" s="2484"/>
      <c r="CM1048" s="2484"/>
      <c r="CN1048" s="2484"/>
      <c r="CO1048" s="2484"/>
      <c r="CP1048" s="2484"/>
      <c r="CQ1048" s="2484"/>
      <c r="CR1048" s="2484"/>
      <c r="CS1048" s="2484"/>
      <c r="CT1048" s="2484"/>
      <c r="CU1048" s="2484"/>
      <c r="CV1048" s="2484"/>
      <c r="CW1048" s="2484"/>
      <c r="CX1048" s="2484"/>
      <c r="CY1048" s="2484"/>
      <c r="CZ1048" s="2484"/>
      <c r="DA1048" s="2484"/>
      <c r="DB1048" s="2484"/>
      <c r="DC1048" s="2484"/>
      <c r="DD1048" s="2484"/>
      <c r="DE1048" s="2484"/>
      <c r="DF1048" s="2484"/>
      <c r="DG1048" s="2484"/>
      <c r="DH1048" s="2484"/>
      <c r="DI1048" s="2484"/>
      <c r="DJ1048" s="2484"/>
      <c r="DK1048" s="2484"/>
      <c r="DL1048" s="2484"/>
      <c r="DM1048" s="2484"/>
      <c r="DN1048" s="2484"/>
      <c r="DO1048" s="2484"/>
      <c r="DP1048" s="2484"/>
      <c r="DQ1048" s="2484"/>
      <c r="DR1048" s="2484"/>
      <c r="DS1048" s="2484"/>
      <c r="DT1048" s="2484"/>
      <c r="DU1048" s="2484"/>
      <c r="DV1048" s="2484"/>
      <c r="DW1048" s="2484"/>
      <c r="DX1048" s="2484"/>
      <c r="DY1048" s="2484"/>
      <c r="DZ1048" s="2484"/>
      <c r="EA1048" s="2484"/>
      <c r="EB1048" s="2484"/>
      <c r="EC1048" s="2484"/>
      <c r="ED1048" s="2484"/>
      <c r="EE1048" s="2484"/>
      <c r="EF1048" s="2484"/>
      <c r="EG1048" s="2484"/>
      <c r="EH1048" s="2484"/>
      <c r="EI1048" s="2484"/>
      <c r="EJ1048" s="2484"/>
      <c r="EK1048" s="2484"/>
      <c r="EL1048" s="2484"/>
      <c r="EM1048" s="2484"/>
      <c r="EN1048" s="2484"/>
      <c r="EO1048" s="2484"/>
      <c r="EP1048" s="2484"/>
      <c r="EQ1048" s="2484"/>
      <c r="ER1048" s="2484"/>
      <c r="ES1048" s="2484"/>
      <c r="ET1048" s="2484"/>
      <c r="EU1048" s="2484"/>
      <c r="EV1048" s="2484"/>
      <c r="EW1048" s="2484"/>
      <c r="EX1048" s="2484"/>
      <c r="EY1048" s="2484"/>
      <c r="EZ1048" s="2484"/>
      <c r="FA1048" s="2484"/>
      <c r="FB1048" s="2484"/>
      <c r="FC1048" s="2484"/>
      <c r="FD1048" s="2484"/>
      <c r="FE1048" s="2484"/>
      <c r="FF1048" s="2484"/>
      <c r="FG1048" s="2484"/>
      <c r="FH1048" s="2484"/>
      <c r="FI1048" s="2484"/>
      <c r="FJ1048" s="2484"/>
      <c r="FK1048" s="2484"/>
      <c r="FL1048" s="2484"/>
      <c r="FM1048" s="2484"/>
      <c r="FN1048" s="2484"/>
      <c r="FO1048" s="2484"/>
      <c r="FP1048" s="2484"/>
      <c r="FQ1048" s="2484"/>
      <c r="FR1048" s="2484"/>
      <c r="FS1048" s="2484"/>
      <c r="FT1048" s="2484"/>
      <c r="FU1048" s="2484"/>
      <c r="FV1048" s="2484"/>
      <c r="FW1048" s="2484"/>
      <c r="FX1048" s="2484"/>
      <c r="FY1048" s="2484"/>
      <c r="FZ1048" s="2484"/>
      <c r="GA1048" s="2484"/>
      <c r="GB1048" s="2484"/>
      <c r="GC1048" s="2484"/>
      <c r="GD1048" s="2484"/>
      <c r="GE1048" s="2484"/>
      <c r="GF1048" s="2484"/>
      <c r="GG1048" s="2484"/>
      <c r="GH1048" s="2484"/>
      <c r="GI1048" s="2484"/>
      <c r="GJ1048" s="2484"/>
      <c r="GK1048" s="2484"/>
      <c r="GL1048" s="2484"/>
      <c r="GM1048" s="2484"/>
      <c r="GN1048" s="2484"/>
      <c r="GO1048" s="2484"/>
      <c r="GP1048" s="2484"/>
      <c r="GQ1048" s="2484"/>
      <c r="GR1048" s="2484"/>
      <c r="GS1048" s="2484"/>
      <c r="GT1048" s="2484"/>
      <c r="GU1048" s="2484"/>
      <c r="GV1048" s="2484"/>
      <c r="GW1048" s="2484"/>
      <c r="GX1048" s="2484"/>
      <c r="GY1048" s="2484"/>
      <c r="GZ1048" s="2484"/>
      <c r="HA1048" s="2484"/>
      <c r="HB1048" s="2484"/>
      <c r="HC1048" s="2484"/>
      <c r="HD1048" s="2484"/>
      <c r="HE1048" s="2484"/>
      <c r="HF1048" s="2484"/>
      <c r="HG1048" s="2484"/>
      <c r="HH1048" s="2484"/>
      <c r="HI1048" s="2484"/>
      <c r="HJ1048" s="2484"/>
      <c r="HK1048" s="2484"/>
      <c r="HL1048" s="2484"/>
      <c r="HM1048" s="2484"/>
      <c r="HN1048" s="2484"/>
      <c r="HO1048" s="2484"/>
      <c r="HP1048" s="2484"/>
      <c r="HQ1048" s="2484"/>
      <c r="HR1048" s="2484"/>
    </row>
    <row r="1049" spans="1:226" s="2485" customFormat="1" ht="15" hidden="1" customHeight="1">
      <c r="A1049" s="3140"/>
      <c r="B1049" s="3149"/>
      <c r="C1049" s="3145"/>
      <c r="D1049" s="3146"/>
      <c r="E1049" s="2489" t="s">
        <v>582</v>
      </c>
      <c r="F1049" s="2490">
        <f t="shared" ref="F1049:F1054" si="99">SUM(G1049:J1049)</f>
        <v>0</v>
      </c>
      <c r="G1049" s="2490"/>
      <c r="H1049" s="2490"/>
      <c r="I1049" s="2490"/>
      <c r="J1049" s="2491"/>
      <c r="K1049" s="2482"/>
    </row>
    <row r="1050" spans="1:226" s="2485" customFormat="1" ht="15" customHeight="1">
      <c r="A1050" s="3140"/>
      <c r="B1050" s="3149"/>
      <c r="C1050" s="3145"/>
      <c r="D1050" s="3146"/>
      <c r="E1050" s="2503">
        <v>6058</v>
      </c>
      <c r="F1050" s="2490">
        <f t="shared" si="99"/>
        <v>5468731</v>
      </c>
      <c r="G1050" s="2490">
        <v>5468731</v>
      </c>
      <c r="H1050" s="2490"/>
      <c r="I1050" s="2490"/>
      <c r="J1050" s="2491"/>
      <c r="K1050" s="2482"/>
    </row>
    <row r="1051" spans="1:226" s="2485" customFormat="1" ht="15" customHeight="1">
      <c r="A1051" s="3141"/>
      <c r="B1051" s="3150"/>
      <c r="C1051" s="3116"/>
      <c r="D1051" s="3118"/>
      <c r="E1051" s="2503">
        <v>6059</v>
      </c>
      <c r="F1051" s="2490">
        <f t="shared" si="99"/>
        <v>7932511</v>
      </c>
      <c r="G1051" s="2490">
        <v>3719373</v>
      </c>
      <c r="H1051" s="2490"/>
      <c r="I1051" s="2490"/>
      <c r="J1051" s="2491">
        <v>4213138</v>
      </c>
      <c r="K1051" s="2482"/>
    </row>
    <row r="1052" spans="1:226" s="2485" customFormat="1" ht="15" hidden="1" customHeight="1">
      <c r="A1052" s="2500"/>
      <c r="B1052" s="2501"/>
      <c r="C1052" s="2493"/>
      <c r="D1052" s="2502"/>
      <c r="E1052" s="2503">
        <v>6060</v>
      </c>
      <c r="F1052" s="2490">
        <f t="shared" si="99"/>
        <v>0</v>
      </c>
      <c r="G1052" s="2490"/>
      <c r="H1052" s="2490"/>
      <c r="I1052" s="2490"/>
      <c r="J1052" s="2491"/>
      <c r="K1052" s="2482"/>
    </row>
    <row r="1053" spans="1:226" s="2485" customFormat="1" ht="15" hidden="1" customHeight="1">
      <c r="A1053" s="2500"/>
      <c r="B1053" s="2501"/>
      <c r="C1053" s="2493"/>
      <c r="D1053" s="2502"/>
      <c r="E1053" s="2489" t="s">
        <v>691</v>
      </c>
      <c r="F1053" s="2490">
        <f t="shared" si="99"/>
        <v>0</v>
      </c>
      <c r="G1053" s="2490"/>
      <c r="H1053" s="2490"/>
      <c r="I1053" s="2490"/>
      <c r="J1053" s="2491"/>
      <c r="K1053" s="2482"/>
    </row>
    <row r="1054" spans="1:226" s="2485" customFormat="1" ht="15" hidden="1" customHeight="1">
      <c r="A1054" s="2500"/>
      <c r="B1054" s="2501"/>
      <c r="C1054" s="2493"/>
      <c r="D1054" s="2502"/>
      <c r="E1054" s="2503">
        <v>6069</v>
      </c>
      <c r="F1054" s="2490">
        <f t="shared" si="99"/>
        <v>0</v>
      </c>
      <c r="G1054" s="2490"/>
      <c r="H1054" s="2490"/>
      <c r="I1054" s="2490"/>
      <c r="J1054" s="2491"/>
      <c r="K1054" s="2482"/>
    </row>
    <row r="1055" spans="1:226" s="2485" customFormat="1" ht="22.5">
      <c r="A1055" s="3112" t="s">
        <v>1138</v>
      </c>
      <c r="B1055" s="3113" t="s">
        <v>1182</v>
      </c>
      <c r="C1055" s="3114">
        <v>600</v>
      </c>
      <c r="D1055" s="3134" t="s">
        <v>682</v>
      </c>
      <c r="E1055" s="2479" t="s">
        <v>1086</v>
      </c>
      <c r="F1055" s="2480">
        <f>SUM(F1056,F1063)</f>
        <v>18260805</v>
      </c>
      <c r="G1055" s="2480">
        <f>SUM(G1056,G1063)</f>
        <v>1985777</v>
      </c>
      <c r="H1055" s="2480">
        <f>SUM(H1056,H1063)</f>
        <v>16275028</v>
      </c>
      <c r="I1055" s="2480">
        <f>SUM(I1056,I1063)</f>
        <v>0</v>
      </c>
      <c r="J1055" s="2481">
        <f>SUM(J1056,J1063)</f>
        <v>0</v>
      </c>
      <c r="K1055" s="2482"/>
    </row>
    <row r="1056" spans="1:226" s="2485" customFormat="1" ht="15" customHeight="1">
      <c r="A1056" s="3112"/>
      <c r="B1056" s="3113"/>
      <c r="C1056" s="3114"/>
      <c r="D1056" s="3134"/>
      <c r="E1056" s="2486" t="s">
        <v>739</v>
      </c>
      <c r="F1056" s="2487">
        <f>SUM(F1057,F1060)</f>
        <v>0</v>
      </c>
      <c r="G1056" s="2487">
        <f>SUM(G1057,G1060)</f>
        <v>0</v>
      </c>
      <c r="H1056" s="2487">
        <f>SUM(H1057,H1060)</f>
        <v>0</v>
      </c>
      <c r="I1056" s="2487">
        <f>SUM(I1057,I1060)</f>
        <v>0</v>
      </c>
      <c r="J1056" s="2488">
        <f>SUM(J1057,J1060)</f>
        <v>0</v>
      </c>
      <c r="K1056" s="2482"/>
    </row>
    <row r="1057" spans="1:226" s="2485" customFormat="1" ht="15" hidden="1" customHeight="1">
      <c r="A1057" s="3112"/>
      <c r="B1057" s="3113"/>
      <c r="C1057" s="3114"/>
      <c r="D1057" s="3134"/>
      <c r="E1057" s="2497" t="s">
        <v>1093</v>
      </c>
      <c r="F1057" s="2498">
        <f>SUM(F1058:F1059)</f>
        <v>0</v>
      </c>
      <c r="G1057" s="2498">
        <f>SUM(G1058:G1059)</f>
        <v>0</v>
      </c>
      <c r="H1057" s="2498">
        <f>SUM(H1058:H1059)</f>
        <v>0</v>
      </c>
      <c r="I1057" s="2498">
        <f>SUM(I1058:I1059)</f>
        <v>0</v>
      </c>
      <c r="J1057" s="2499">
        <f>SUM(J1058:J1059)</f>
        <v>0</v>
      </c>
      <c r="K1057" s="2482"/>
    </row>
    <row r="1058" spans="1:226" s="2485" customFormat="1" ht="15" hidden="1" customHeight="1">
      <c r="A1058" s="3112"/>
      <c r="B1058" s="3113"/>
      <c r="C1058" s="3114"/>
      <c r="D1058" s="3134"/>
      <c r="E1058" s="2489"/>
      <c r="F1058" s="2490">
        <f>SUM(G1058:J1058)</f>
        <v>0</v>
      </c>
      <c r="G1058" s="2490"/>
      <c r="H1058" s="2490"/>
      <c r="I1058" s="2490"/>
      <c r="J1058" s="2491"/>
      <c r="K1058" s="2482"/>
    </row>
    <row r="1059" spans="1:226" s="2485" customFormat="1" ht="15" hidden="1" customHeight="1">
      <c r="A1059" s="3112"/>
      <c r="B1059" s="3113"/>
      <c r="C1059" s="3114"/>
      <c r="D1059" s="3134"/>
      <c r="E1059" s="2489"/>
      <c r="F1059" s="2490">
        <f>SUM(G1059:J1059)</f>
        <v>0</v>
      </c>
      <c r="G1059" s="2490"/>
      <c r="H1059" s="2490"/>
      <c r="I1059" s="2490"/>
      <c r="J1059" s="2491"/>
      <c r="K1059" s="2482"/>
    </row>
    <row r="1060" spans="1:226" s="2485" customFormat="1" ht="15" hidden="1" customHeight="1">
      <c r="A1060" s="3112"/>
      <c r="B1060" s="3113"/>
      <c r="C1060" s="3114"/>
      <c r="D1060" s="3134"/>
      <c r="E1060" s="2497" t="s">
        <v>1094</v>
      </c>
      <c r="F1060" s="2498">
        <f>SUM(F1061:F1062)</f>
        <v>0</v>
      </c>
      <c r="G1060" s="2498">
        <f>SUM(G1061:G1062)</f>
        <v>0</v>
      </c>
      <c r="H1060" s="2498">
        <f>SUM(H1061:H1062)</f>
        <v>0</v>
      </c>
      <c r="I1060" s="2498">
        <f>SUM(I1061:I1062)</f>
        <v>0</v>
      </c>
      <c r="J1060" s="2499">
        <f>SUM(J1061:J1062)</f>
        <v>0</v>
      </c>
      <c r="K1060" s="2482"/>
    </row>
    <row r="1061" spans="1:226" s="2485" customFormat="1" ht="15" hidden="1" customHeight="1">
      <c r="A1061" s="3112"/>
      <c r="B1061" s="3113"/>
      <c r="C1061" s="3114"/>
      <c r="D1061" s="3134"/>
      <c r="E1061" s="2489"/>
      <c r="F1061" s="2490">
        <f>SUM(G1061:J1061)</f>
        <v>0</v>
      </c>
      <c r="G1061" s="2490"/>
      <c r="H1061" s="2490"/>
      <c r="I1061" s="2490"/>
      <c r="J1061" s="2491"/>
      <c r="K1061" s="2482"/>
    </row>
    <row r="1062" spans="1:226" s="2485" customFormat="1" ht="15" hidden="1" customHeight="1">
      <c r="A1062" s="3112"/>
      <c r="B1062" s="3113"/>
      <c r="C1062" s="3114"/>
      <c r="D1062" s="3134"/>
      <c r="E1062" s="2489"/>
      <c r="F1062" s="2490">
        <f>SUM(G1062:J1062)</f>
        <v>0</v>
      </c>
      <c r="G1062" s="2490"/>
      <c r="H1062" s="2490"/>
      <c r="I1062" s="2490"/>
      <c r="J1062" s="2491"/>
      <c r="K1062" s="2482"/>
    </row>
    <row r="1063" spans="1:226" s="2485" customFormat="1" ht="15" customHeight="1">
      <c r="A1063" s="3112"/>
      <c r="B1063" s="3113"/>
      <c r="C1063" s="3114"/>
      <c r="D1063" s="3134"/>
      <c r="E1063" s="2492" t="s">
        <v>1087</v>
      </c>
      <c r="F1063" s="2487">
        <f>SUM(F1064:F1069)</f>
        <v>18260805</v>
      </c>
      <c r="G1063" s="2487">
        <f>SUM(G1064:G1069)</f>
        <v>1985777</v>
      </c>
      <c r="H1063" s="2487">
        <f>SUM(H1064:H1069)</f>
        <v>16275028</v>
      </c>
      <c r="I1063" s="2487">
        <f>SUM(I1064:I1069)</f>
        <v>0</v>
      </c>
      <c r="J1063" s="2488">
        <f>SUM(J1064:J1069)</f>
        <v>0</v>
      </c>
      <c r="K1063" s="2482"/>
      <c r="L1063" s="2484"/>
      <c r="M1063" s="2484"/>
      <c r="N1063" s="2484"/>
      <c r="O1063" s="2484"/>
      <c r="P1063" s="2484"/>
      <c r="Q1063" s="2484"/>
      <c r="R1063" s="2484"/>
      <c r="S1063" s="2484"/>
      <c r="T1063" s="2484"/>
      <c r="U1063" s="2484"/>
      <c r="V1063" s="2484"/>
      <c r="W1063" s="2484"/>
      <c r="X1063" s="2484"/>
      <c r="Y1063" s="2484"/>
      <c r="Z1063" s="2484"/>
      <c r="AA1063" s="2484"/>
      <c r="AB1063" s="2484"/>
      <c r="AC1063" s="2484"/>
      <c r="AD1063" s="2484"/>
      <c r="AE1063" s="2484"/>
      <c r="AF1063" s="2484"/>
      <c r="AG1063" s="2484"/>
      <c r="AH1063" s="2484"/>
      <c r="AI1063" s="2484"/>
      <c r="AJ1063" s="2484"/>
      <c r="AK1063" s="2484"/>
      <c r="AL1063" s="2484"/>
      <c r="AM1063" s="2484"/>
      <c r="AN1063" s="2484"/>
      <c r="AO1063" s="2484"/>
      <c r="AP1063" s="2484"/>
      <c r="AQ1063" s="2484"/>
      <c r="AR1063" s="2484"/>
      <c r="AS1063" s="2484"/>
      <c r="AT1063" s="2484"/>
      <c r="AU1063" s="2484"/>
      <c r="AV1063" s="2484"/>
      <c r="AW1063" s="2484"/>
      <c r="AX1063" s="2484"/>
      <c r="AY1063" s="2484"/>
      <c r="AZ1063" s="2484"/>
      <c r="BA1063" s="2484"/>
      <c r="BB1063" s="2484"/>
      <c r="BC1063" s="2484"/>
      <c r="BD1063" s="2484"/>
      <c r="BE1063" s="2484"/>
      <c r="BF1063" s="2484"/>
      <c r="BG1063" s="2484"/>
      <c r="BH1063" s="2484"/>
      <c r="BI1063" s="2484"/>
      <c r="BJ1063" s="2484"/>
      <c r="BK1063" s="2484"/>
      <c r="BL1063" s="2484"/>
      <c r="BM1063" s="2484"/>
      <c r="BN1063" s="2484"/>
      <c r="BO1063" s="2484"/>
      <c r="BP1063" s="2484"/>
      <c r="BQ1063" s="2484"/>
      <c r="BR1063" s="2484"/>
      <c r="BS1063" s="2484"/>
      <c r="BT1063" s="2484"/>
      <c r="BU1063" s="2484"/>
      <c r="BV1063" s="2484"/>
      <c r="BW1063" s="2484"/>
      <c r="BX1063" s="2484"/>
      <c r="BY1063" s="2484"/>
      <c r="BZ1063" s="2484"/>
      <c r="CA1063" s="2484"/>
      <c r="CB1063" s="2484"/>
      <c r="CC1063" s="2484"/>
      <c r="CD1063" s="2484"/>
      <c r="CE1063" s="2484"/>
      <c r="CF1063" s="2484"/>
      <c r="CG1063" s="2484"/>
      <c r="CH1063" s="2484"/>
      <c r="CI1063" s="2484"/>
      <c r="CJ1063" s="2484"/>
      <c r="CK1063" s="2484"/>
      <c r="CL1063" s="2484"/>
      <c r="CM1063" s="2484"/>
      <c r="CN1063" s="2484"/>
      <c r="CO1063" s="2484"/>
      <c r="CP1063" s="2484"/>
      <c r="CQ1063" s="2484"/>
      <c r="CR1063" s="2484"/>
      <c r="CS1063" s="2484"/>
      <c r="CT1063" s="2484"/>
      <c r="CU1063" s="2484"/>
      <c r="CV1063" s="2484"/>
      <c r="CW1063" s="2484"/>
      <c r="CX1063" s="2484"/>
      <c r="CY1063" s="2484"/>
      <c r="CZ1063" s="2484"/>
      <c r="DA1063" s="2484"/>
      <c r="DB1063" s="2484"/>
      <c r="DC1063" s="2484"/>
      <c r="DD1063" s="2484"/>
      <c r="DE1063" s="2484"/>
      <c r="DF1063" s="2484"/>
      <c r="DG1063" s="2484"/>
      <c r="DH1063" s="2484"/>
      <c r="DI1063" s="2484"/>
      <c r="DJ1063" s="2484"/>
      <c r="DK1063" s="2484"/>
      <c r="DL1063" s="2484"/>
      <c r="DM1063" s="2484"/>
      <c r="DN1063" s="2484"/>
      <c r="DO1063" s="2484"/>
      <c r="DP1063" s="2484"/>
      <c r="DQ1063" s="2484"/>
      <c r="DR1063" s="2484"/>
      <c r="DS1063" s="2484"/>
      <c r="DT1063" s="2484"/>
      <c r="DU1063" s="2484"/>
      <c r="DV1063" s="2484"/>
      <c r="DW1063" s="2484"/>
      <c r="DX1063" s="2484"/>
      <c r="DY1063" s="2484"/>
      <c r="DZ1063" s="2484"/>
      <c r="EA1063" s="2484"/>
      <c r="EB1063" s="2484"/>
      <c r="EC1063" s="2484"/>
      <c r="ED1063" s="2484"/>
      <c r="EE1063" s="2484"/>
      <c r="EF1063" s="2484"/>
      <c r="EG1063" s="2484"/>
      <c r="EH1063" s="2484"/>
      <c r="EI1063" s="2484"/>
      <c r="EJ1063" s="2484"/>
      <c r="EK1063" s="2484"/>
      <c r="EL1063" s="2484"/>
      <c r="EM1063" s="2484"/>
      <c r="EN1063" s="2484"/>
      <c r="EO1063" s="2484"/>
      <c r="EP1063" s="2484"/>
      <c r="EQ1063" s="2484"/>
      <c r="ER1063" s="2484"/>
      <c r="ES1063" s="2484"/>
      <c r="ET1063" s="2484"/>
      <c r="EU1063" s="2484"/>
      <c r="EV1063" s="2484"/>
      <c r="EW1063" s="2484"/>
      <c r="EX1063" s="2484"/>
      <c r="EY1063" s="2484"/>
      <c r="EZ1063" s="2484"/>
      <c r="FA1063" s="2484"/>
      <c r="FB1063" s="2484"/>
      <c r="FC1063" s="2484"/>
      <c r="FD1063" s="2484"/>
      <c r="FE1063" s="2484"/>
      <c r="FF1063" s="2484"/>
      <c r="FG1063" s="2484"/>
      <c r="FH1063" s="2484"/>
      <c r="FI1063" s="2484"/>
      <c r="FJ1063" s="2484"/>
      <c r="FK1063" s="2484"/>
      <c r="FL1063" s="2484"/>
      <c r="FM1063" s="2484"/>
      <c r="FN1063" s="2484"/>
      <c r="FO1063" s="2484"/>
      <c r="FP1063" s="2484"/>
      <c r="FQ1063" s="2484"/>
      <c r="FR1063" s="2484"/>
      <c r="FS1063" s="2484"/>
      <c r="FT1063" s="2484"/>
      <c r="FU1063" s="2484"/>
      <c r="FV1063" s="2484"/>
      <c r="FW1063" s="2484"/>
      <c r="FX1063" s="2484"/>
      <c r="FY1063" s="2484"/>
      <c r="FZ1063" s="2484"/>
      <c r="GA1063" s="2484"/>
      <c r="GB1063" s="2484"/>
      <c r="GC1063" s="2484"/>
      <c r="GD1063" s="2484"/>
      <c r="GE1063" s="2484"/>
      <c r="GF1063" s="2484"/>
      <c r="GG1063" s="2484"/>
      <c r="GH1063" s="2484"/>
      <c r="GI1063" s="2484"/>
      <c r="GJ1063" s="2484"/>
      <c r="GK1063" s="2484"/>
      <c r="GL1063" s="2484"/>
      <c r="GM1063" s="2484"/>
      <c r="GN1063" s="2484"/>
      <c r="GO1063" s="2484"/>
      <c r="GP1063" s="2484"/>
      <c r="GQ1063" s="2484"/>
      <c r="GR1063" s="2484"/>
      <c r="GS1063" s="2484"/>
      <c r="GT1063" s="2484"/>
      <c r="GU1063" s="2484"/>
      <c r="GV1063" s="2484"/>
      <c r="GW1063" s="2484"/>
      <c r="GX1063" s="2484"/>
      <c r="GY1063" s="2484"/>
      <c r="GZ1063" s="2484"/>
      <c r="HA1063" s="2484"/>
      <c r="HB1063" s="2484"/>
      <c r="HC1063" s="2484"/>
      <c r="HD1063" s="2484"/>
      <c r="HE1063" s="2484"/>
      <c r="HF1063" s="2484"/>
      <c r="HG1063" s="2484"/>
      <c r="HH1063" s="2484"/>
      <c r="HI1063" s="2484"/>
      <c r="HJ1063" s="2484"/>
      <c r="HK1063" s="2484"/>
      <c r="HL1063" s="2484"/>
      <c r="HM1063" s="2484"/>
      <c r="HN1063" s="2484"/>
      <c r="HO1063" s="2484"/>
      <c r="HP1063" s="2484"/>
      <c r="HQ1063" s="2484"/>
      <c r="HR1063" s="2484"/>
    </row>
    <row r="1064" spans="1:226" s="2485" customFormat="1" ht="14.1" customHeight="1">
      <c r="A1064" s="3112"/>
      <c r="B1064" s="3113"/>
      <c r="C1064" s="3114"/>
      <c r="D1064" s="3134"/>
      <c r="E1064" s="2489" t="s">
        <v>582</v>
      </c>
      <c r="F1064" s="2490">
        <f t="shared" ref="F1064:F1069" si="100">SUM(G1064:J1064)</f>
        <v>177441</v>
      </c>
      <c r="G1064" s="2490">
        <v>177441</v>
      </c>
      <c r="H1064" s="2490"/>
      <c r="I1064" s="2490"/>
      <c r="J1064" s="2491"/>
      <c r="K1064" s="2482"/>
    </row>
    <row r="1065" spans="1:226" s="2485" customFormat="1" ht="14.1" customHeight="1">
      <c r="A1065" s="3112"/>
      <c r="B1065" s="3113"/>
      <c r="C1065" s="3114"/>
      <c r="D1065" s="3134"/>
      <c r="E1065" s="2503">
        <v>6058</v>
      </c>
      <c r="F1065" s="2490">
        <f t="shared" si="100"/>
        <v>16275028</v>
      </c>
      <c r="G1065" s="2490"/>
      <c r="H1065" s="2490">
        <v>16275028</v>
      </c>
      <c r="I1065" s="2490"/>
      <c r="J1065" s="2491"/>
      <c r="K1065" s="2482"/>
    </row>
    <row r="1066" spans="1:226" s="2485" customFormat="1" ht="14.1" customHeight="1">
      <c r="A1066" s="3112"/>
      <c r="B1066" s="3113"/>
      <c r="C1066" s="3114"/>
      <c r="D1066" s="3134"/>
      <c r="E1066" s="2503">
        <v>6059</v>
      </c>
      <c r="F1066" s="2490">
        <f t="shared" si="100"/>
        <v>1808336</v>
      </c>
      <c r="G1066" s="2490">
        <v>1808336</v>
      </c>
      <c r="H1066" s="2490"/>
      <c r="I1066" s="2490"/>
      <c r="J1066" s="2491"/>
      <c r="K1066" s="2482"/>
    </row>
    <row r="1067" spans="1:226" s="2485" customFormat="1" ht="15" hidden="1" customHeight="1">
      <c r="A1067" s="3112"/>
      <c r="B1067" s="3113"/>
      <c r="C1067" s="3114"/>
      <c r="D1067" s="3134"/>
      <c r="E1067" s="2503">
        <v>6060</v>
      </c>
      <c r="F1067" s="2490">
        <f t="shared" si="100"/>
        <v>0</v>
      </c>
      <c r="G1067" s="2490"/>
      <c r="H1067" s="2490"/>
      <c r="I1067" s="2490"/>
      <c r="J1067" s="2491"/>
      <c r="K1067" s="2482"/>
    </row>
    <row r="1068" spans="1:226" s="2485" customFormat="1" ht="15" hidden="1" customHeight="1">
      <c r="A1068" s="3112"/>
      <c r="B1068" s="3113"/>
      <c r="C1068" s="3114"/>
      <c r="D1068" s="3134"/>
      <c r="E1068" s="2489" t="s">
        <v>691</v>
      </c>
      <c r="F1068" s="2490">
        <f t="shared" si="100"/>
        <v>0</v>
      </c>
      <c r="G1068" s="2490"/>
      <c r="H1068" s="2490"/>
      <c r="I1068" s="2490"/>
      <c r="J1068" s="2491"/>
      <c r="K1068" s="2482"/>
    </row>
    <row r="1069" spans="1:226" s="2485" customFormat="1" ht="15" hidden="1" customHeight="1">
      <c r="A1069" s="3112"/>
      <c r="B1069" s="3113"/>
      <c r="C1069" s="3114"/>
      <c r="D1069" s="3134"/>
      <c r="E1069" s="2503">
        <v>6069</v>
      </c>
      <c r="F1069" s="2490">
        <f t="shared" si="100"/>
        <v>0</v>
      </c>
      <c r="G1069" s="2490"/>
      <c r="H1069" s="2490"/>
      <c r="I1069" s="2490"/>
      <c r="J1069" s="2491"/>
      <c r="K1069" s="2482"/>
    </row>
    <row r="1070" spans="1:226" s="2485" customFormat="1" ht="22.5" customHeight="1">
      <c r="A1070" s="3139" t="s">
        <v>1140</v>
      </c>
      <c r="B1070" s="3148" t="s">
        <v>1183</v>
      </c>
      <c r="C1070" s="3115">
        <v>600</v>
      </c>
      <c r="D1070" s="3117" t="s">
        <v>682</v>
      </c>
      <c r="E1070" s="2479" t="s">
        <v>1086</v>
      </c>
      <c r="F1070" s="2480">
        <f>SUM(F1071,F1078)</f>
        <v>5075252</v>
      </c>
      <c r="G1070" s="2480">
        <f>SUM(G1071,G1078)</f>
        <v>5075252</v>
      </c>
      <c r="H1070" s="2480">
        <f>SUM(H1071,H1078)</f>
        <v>0</v>
      </c>
      <c r="I1070" s="2480">
        <f>SUM(I1071,I1078)</f>
        <v>0</v>
      </c>
      <c r="J1070" s="2481">
        <f>SUM(J1071,J1078)</f>
        <v>0</v>
      </c>
      <c r="K1070" s="2482"/>
    </row>
    <row r="1071" spans="1:226" s="2485" customFormat="1" ht="15" customHeight="1">
      <c r="A1071" s="3140"/>
      <c r="B1071" s="3149"/>
      <c r="C1071" s="3145"/>
      <c r="D1071" s="3146"/>
      <c r="E1071" s="2486" t="s">
        <v>739</v>
      </c>
      <c r="F1071" s="2487">
        <f>SUM(F1072,F1075)</f>
        <v>0</v>
      </c>
      <c r="G1071" s="2487">
        <f>SUM(G1072,G1075)</f>
        <v>0</v>
      </c>
      <c r="H1071" s="2487">
        <f>SUM(H1072,H1075)</f>
        <v>0</v>
      </c>
      <c r="I1071" s="2487">
        <f>SUM(I1072,I1075)</f>
        <v>0</v>
      </c>
      <c r="J1071" s="2488">
        <f>SUM(J1072,J1075)</f>
        <v>0</v>
      </c>
      <c r="K1071" s="2482"/>
    </row>
    <row r="1072" spans="1:226" s="2485" customFormat="1" ht="15" hidden="1" customHeight="1">
      <c r="A1072" s="3140"/>
      <c r="B1072" s="3149"/>
      <c r="C1072" s="3145"/>
      <c r="D1072" s="3146"/>
      <c r="E1072" s="2497" t="s">
        <v>1093</v>
      </c>
      <c r="F1072" s="2498">
        <f>SUM(F1073:F1074)</f>
        <v>0</v>
      </c>
      <c r="G1072" s="2498">
        <f>SUM(G1073:G1074)</f>
        <v>0</v>
      </c>
      <c r="H1072" s="2498">
        <f>SUM(H1073:H1074)</f>
        <v>0</v>
      </c>
      <c r="I1072" s="2498">
        <f>SUM(I1073:I1074)</f>
        <v>0</v>
      </c>
      <c r="J1072" s="2499">
        <f>SUM(J1073:J1074)</f>
        <v>0</v>
      </c>
      <c r="K1072" s="2482"/>
    </row>
    <row r="1073" spans="1:226" s="2485" customFormat="1" ht="15" hidden="1" customHeight="1">
      <c r="A1073" s="3140"/>
      <c r="B1073" s="3149"/>
      <c r="C1073" s="3145"/>
      <c r="D1073" s="3146"/>
      <c r="E1073" s="2489"/>
      <c r="F1073" s="2490">
        <f>SUM(G1073:J1073)</f>
        <v>0</v>
      </c>
      <c r="G1073" s="2490"/>
      <c r="H1073" s="2490"/>
      <c r="I1073" s="2490"/>
      <c r="J1073" s="2491"/>
      <c r="K1073" s="2482"/>
    </row>
    <row r="1074" spans="1:226" s="2485" customFormat="1" ht="15" hidden="1" customHeight="1">
      <c r="A1074" s="3140"/>
      <c r="B1074" s="3149"/>
      <c r="C1074" s="3145"/>
      <c r="D1074" s="3146"/>
      <c r="E1074" s="2489"/>
      <c r="F1074" s="2490">
        <f>SUM(G1074:J1074)</f>
        <v>0</v>
      </c>
      <c r="G1074" s="2490"/>
      <c r="H1074" s="2490"/>
      <c r="I1074" s="2490"/>
      <c r="J1074" s="2491"/>
      <c r="K1074" s="2482"/>
    </row>
    <row r="1075" spans="1:226" s="2485" customFormat="1" ht="15" hidden="1" customHeight="1">
      <c r="A1075" s="3140"/>
      <c r="B1075" s="3149"/>
      <c r="C1075" s="3145"/>
      <c r="D1075" s="3146"/>
      <c r="E1075" s="2497" t="s">
        <v>1094</v>
      </c>
      <c r="F1075" s="2498">
        <f>SUM(F1076:F1077)</f>
        <v>0</v>
      </c>
      <c r="G1075" s="2498">
        <f>SUM(G1076:G1077)</f>
        <v>0</v>
      </c>
      <c r="H1075" s="2498">
        <f>SUM(H1076:H1077)</f>
        <v>0</v>
      </c>
      <c r="I1075" s="2498">
        <f>SUM(I1076:I1077)</f>
        <v>0</v>
      </c>
      <c r="J1075" s="2499">
        <f>SUM(J1076:J1077)</f>
        <v>0</v>
      </c>
      <c r="K1075" s="2482"/>
    </row>
    <row r="1076" spans="1:226" s="2485" customFormat="1" ht="15" hidden="1" customHeight="1">
      <c r="A1076" s="3140"/>
      <c r="B1076" s="3149"/>
      <c r="C1076" s="3145"/>
      <c r="D1076" s="3146"/>
      <c r="E1076" s="2489"/>
      <c r="F1076" s="2490">
        <f>SUM(G1076:J1076)</f>
        <v>0</v>
      </c>
      <c r="G1076" s="2490"/>
      <c r="H1076" s="2490"/>
      <c r="I1076" s="2490"/>
      <c r="J1076" s="2491"/>
      <c r="K1076" s="2482"/>
    </row>
    <row r="1077" spans="1:226" s="2485" customFormat="1" ht="15" hidden="1" customHeight="1">
      <c r="A1077" s="3140"/>
      <c r="B1077" s="3149"/>
      <c r="C1077" s="3145"/>
      <c r="D1077" s="3146"/>
      <c r="E1077" s="2489"/>
      <c r="F1077" s="2490">
        <f>SUM(G1077:J1077)</f>
        <v>0</v>
      </c>
      <c r="G1077" s="2490"/>
      <c r="H1077" s="2490"/>
      <c r="I1077" s="2490"/>
      <c r="J1077" s="2491"/>
      <c r="K1077" s="2482"/>
    </row>
    <row r="1078" spans="1:226" s="2485" customFormat="1" ht="15" customHeight="1">
      <c r="A1078" s="3140"/>
      <c r="B1078" s="3149"/>
      <c r="C1078" s="3145"/>
      <c r="D1078" s="3146"/>
      <c r="E1078" s="2492" t="s">
        <v>1087</v>
      </c>
      <c r="F1078" s="2487">
        <f>SUM(F1079:F1084)</f>
        <v>5075252</v>
      </c>
      <c r="G1078" s="2487">
        <f>SUM(G1079:G1084)</f>
        <v>5075252</v>
      </c>
      <c r="H1078" s="2487">
        <f>SUM(H1079:H1084)</f>
        <v>0</v>
      </c>
      <c r="I1078" s="2487">
        <f>SUM(I1079:I1084)</f>
        <v>0</v>
      </c>
      <c r="J1078" s="2488">
        <f>SUM(J1079:J1084)</f>
        <v>0</v>
      </c>
      <c r="K1078" s="2482"/>
      <c r="L1078" s="2484"/>
      <c r="M1078" s="2484"/>
      <c r="N1078" s="2484"/>
      <c r="O1078" s="2484"/>
      <c r="P1078" s="2484"/>
      <c r="Q1078" s="2484"/>
      <c r="R1078" s="2484"/>
      <c r="S1078" s="2484"/>
      <c r="T1078" s="2484"/>
      <c r="U1078" s="2484"/>
      <c r="V1078" s="2484"/>
      <c r="W1078" s="2484"/>
      <c r="X1078" s="2484"/>
      <c r="Y1078" s="2484"/>
      <c r="Z1078" s="2484"/>
      <c r="AA1078" s="2484"/>
      <c r="AB1078" s="2484"/>
      <c r="AC1078" s="2484"/>
      <c r="AD1078" s="2484"/>
      <c r="AE1078" s="2484"/>
      <c r="AF1078" s="2484"/>
      <c r="AG1078" s="2484"/>
      <c r="AH1078" s="2484"/>
      <c r="AI1078" s="2484"/>
      <c r="AJ1078" s="2484"/>
      <c r="AK1078" s="2484"/>
      <c r="AL1078" s="2484"/>
      <c r="AM1078" s="2484"/>
      <c r="AN1078" s="2484"/>
      <c r="AO1078" s="2484"/>
      <c r="AP1078" s="2484"/>
      <c r="AQ1078" s="2484"/>
      <c r="AR1078" s="2484"/>
      <c r="AS1078" s="2484"/>
      <c r="AT1078" s="2484"/>
      <c r="AU1078" s="2484"/>
      <c r="AV1078" s="2484"/>
      <c r="AW1078" s="2484"/>
      <c r="AX1078" s="2484"/>
      <c r="AY1078" s="2484"/>
      <c r="AZ1078" s="2484"/>
      <c r="BA1078" s="2484"/>
      <c r="BB1078" s="2484"/>
      <c r="BC1078" s="2484"/>
      <c r="BD1078" s="2484"/>
      <c r="BE1078" s="2484"/>
      <c r="BF1078" s="2484"/>
      <c r="BG1078" s="2484"/>
      <c r="BH1078" s="2484"/>
      <c r="BI1078" s="2484"/>
      <c r="BJ1078" s="2484"/>
      <c r="BK1078" s="2484"/>
      <c r="BL1078" s="2484"/>
      <c r="BM1078" s="2484"/>
      <c r="BN1078" s="2484"/>
      <c r="BO1078" s="2484"/>
      <c r="BP1078" s="2484"/>
      <c r="BQ1078" s="2484"/>
      <c r="BR1078" s="2484"/>
      <c r="BS1078" s="2484"/>
      <c r="BT1078" s="2484"/>
      <c r="BU1078" s="2484"/>
      <c r="BV1078" s="2484"/>
      <c r="BW1078" s="2484"/>
      <c r="BX1078" s="2484"/>
      <c r="BY1078" s="2484"/>
      <c r="BZ1078" s="2484"/>
      <c r="CA1078" s="2484"/>
      <c r="CB1078" s="2484"/>
      <c r="CC1078" s="2484"/>
      <c r="CD1078" s="2484"/>
      <c r="CE1078" s="2484"/>
      <c r="CF1078" s="2484"/>
      <c r="CG1078" s="2484"/>
      <c r="CH1078" s="2484"/>
      <c r="CI1078" s="2484"/>
      <c r="CJ1078" s="2484"/>
      <c r="CK1078" s="2484"/>
      <c r="CL1078" s="2484"/>
      <c r="CM1078" s="2484"/>
      <c r="CN1078" s="2484"/>
      <c r="CO1078" s="2484"/>
      <c r="CP1078" s="2484"/>
      <c r="CQ1078" s="2484"/>
      <c r="CR1078" s="2484"/>
      <c r="CS1078" s="2484"/>
      <c r="CT1078" s="2484"/>
      <c r="CU1078" s="2484"/>
      <c r="CV1078" s="2484"/>
      <c r="CW1078" s="2484"/>
      <c r="CX1078" s="2484"/>
      <c r="CY1078" s="2484"/>
      <c r="CZ1078" s="2484"/>
      <c r="DA1078" s="2484"/>
      <c r="DB1078" s="2484"/>
      <c r="DC1078" s="2484"/>
      <c r="DD1078" s="2484"/>
      <c r="DE1078" s="2484"/>
      <c r="DF1078" s="2484"/>
      <c r="DG1078" s="2484"/>
      <c r="DH1078" s="2484"/>
      <c r="DI1078" s="2484"/>
      <c r="DJ1078" s="2484"/>
      <c r="DK1078" s="2484"/>
      <c r="DL1078" s="2484"/>
      <c r="DM1078" s="2484"/>
      <c r="DN1078" s="2484"/>
      <c r="DO1078" s="2484"/>
      <c r="DP1078" s="2484"/>
      <c r="DQ1078" s="2484"/>
      <c r="DR1078" s="2484"/>
      <c r="DS1078" s="2484"/>
      <c r="DT1078" s="2484"/>
      <c r="DU1078" s="2484"/>
      <c r="DV1078" s="2484"/>
      <c r="DW1078" s="2484"/>
      <c r="DX1078" s="2484"/>
      <c r="DY1078" s="2484"/>
      <c r="DZ1078" s="2484"/>
      <c r="EA1078" s="2484"/>
      <c r="EB1078" s="2484"/>
      <c r="EC1078" s="2484"/>
      <c r="ED1078" s="2484"/>
      <c r="EE1078" s="2484"/>
      <c r="EF1078" s="2484"/>
      <c r="EG1078" s="2484"/>
      <c r="EH1078" s="2484"/>
      <c r="EI1078" s="2484"/>
      <c r="EJ1078" s="2484"/>
      <c r="EK1078" s="2484"/>
      <c r="EL1078" s="2484"/>
      <c r="EM1078" s="2484"/>
      <c r="EN1078" s="2484"/>
      <c r="EO1078" s="2484"/>
      <c r="EP1078" s="2484"/>
      <c r="EQ1078" s="2484"/>
      <c r="ER1078" s="2484"/>
      <c r="ES1078" s="2484"/>
      <c r="ET1078" s="2484"/>
      <c r="EU1078" s="2484"/>
      <c r="EV1078" s="2484"/>
      <c r="EW1078" s="2484"/>
      <c r="EX1078" s="2484"/>
      <c r="EY1078" s="2484"/>
      <c r="EZ1078" s="2484"/>
      <c r="FA1078" s="2484"/>
      <c r="FB1078" s="2484"/>
      <c r="FC1078" s="2484"/>
      <c r="FD1078" s="2484"/>
      <c r="FE1078" s="2484"/>
      <c r="FF1078" s="2484"/>
      <c r="FG1078" s="2484"/>
      <c r="FH1078" s="2484"/>
      <c r="FI1078" s="2484"/>
      <c r="FJ1078" s="2484"/>
      <c r="FK1078" s="2484"/>
      <c r="FL1078" s="2484"/>
      <c r="FM1078" s="2484"/>
      <c r="FN1078" s="2484"/>
      <c r="FO1078" s="2484"/>
      <c r="FP1078" s="2484"/>
      <c r="FQ1078" s="2484"/>
      <c r="FR1078" s="2484"/>
      <c r="FS1078" s="2484"/>
      <c r="FT1078" s="2484"/>
      <c r="FU1078" s="2484"/>
      <c r="FV1078" s="2484"/>
      <c r="FW1078" s="2484"/>
      <c r="FX1078" s="2484"/>
      <c r="FY1078" s="2484"/>
      <c r="FZ1078" s="2484"/>
      <c r="GA1078" s="2484"/>
      <c r="GB1078" s="2484"/>
      <c r="GC1078" s="2484"/>
      <c r="GD1078" s="2484"/>
      <c r="GE1078" s="2484"/>
      <c r="GF1078" s="2484"/>
      <c r="GG1078" s="2484"/>
      <c r="GH1078" s="2484"/>
      <c r="GI1078" s="2484"/>
      <c r="GJ1078" s="2484"/>
      <c r="GK1078" s="2484"/>
      <c r="GL1078" s="2484"/>
      <c r="GM1078" s="2484"/>
      <c r="GN1078" s="2484"/>
      <c r="GO1078" s="2484"/>
      <c r="GP1078" s="2484"/>
      <c r="GQ1078" s="2484"/>
      <c r="GR1078" s="2484"/>
      <c r="GS1078" s="2484"/>
      <c r="GT1078" s="2484"/>
      <c r="GU1078" s="2484"/>
      <c r="GV1078" s="2484"/>
      <c r="GW1078" s="2484"/>
      <c r="GX1078" s="2484"/>
      <c r="GY1078" s="2484"/>
      <c r="GZ1078" s="2484"/>
      <c r="HA1078" s="2484"/>
      <c r="HB1078" s="2484"/>
      <c r="HC1078" s="2484"/>
      <c r="HD1078" s="2484"/>
      <c r="HE1078" s="2484"/>
      <c r="HF1078" s="2484"/>
      <c r="HG1078" s="2484"/>
      <c r="HH1078" s="2484"/>
      <c r="HI1078" s="2484"/>
      <c r="HJ1078" s="2484"/>
      <c r="HK1078" s="2484"/>
      <c r="HL1078" s="2484"/>
      <c r="HM1078" s="2484"/>
      <c r="HN1078" s="2484"/>
      <c r="HO1078" s="2484"/>
      <c r="HP1078" s="2484"/>
      <c r="HQ1078" s="2484"/>
      <c r="HR1078" s="2484"/>
    </row>
    <row r="1079" spans="1:226" s="2485" customFormat="1" ht="15" hidden="1" customHeight="1">
      <c r="A1079" s="3140"/>
      <c r="B1079" s="3149"/>
      <c r="C1079" s="3145"/>
      <c r="D1079" s="3146"/>
      <c r="E1079" s="2489" t="s">
        <v>582</v>
      </c>
      <c r="F1079" s="2490">
        <f t="shared" ref="F1079:F1084" si="101">SUM(G1079:J1079)</f>
        <v>0</v>
      </c>
      <c r="G1079" s="2490"/>
      <c r="H1079" s="2490"/>
      <c r="I1079" s="2490"/>
      <c r="J1079" s="2491"/>
      <c r="K1079" s="2482"/>
    </row>
    <row r="1080" spans="1:226" s="2485" customFormat="1" ht="15" customHeight="1">
      <c r="A1080" s="3140"/>
      <c r="B1080" s="3149"/>
      <c r="C1080" s="3145"/>
      <c r="D1080" s="3146"/>
      <c r="E1080" s="2503">
        <v>6058</v>
      </c>
      <c r="F1080" s="2490">
        <f t="shared" si="101"/>
        <v>4567726</v>
      </c>
      <c r="G1080" s="2490">
        <v>4567726</v>
      </c>
      <c r="H1080" s="2490"/>
      <c r="I1080" s="2490"/>
      <c r="J1080" s="2491"/>
      <c r="K1080" s="2482"/>
    </row>
    <row r="1081" spans="1:226" s="2485" customFormat="1" ht="15" customHeight="1">
      <c r="A1081" s="3141"/>
      <c r="B1081" s="3150"/>
      <c r="C1081" s="3116"/>
      <c r="D1081" s="3118"/>
      <c r="E1081" s="2503">
        <v>6059</v>
      </c>
      <c r="F1081" s="2490">
        <f t="shared" si="101"/>
        <v>507526</v>
      </c>
      <c r="G1081" s="2490">
        <v>507526</v>
      </c>
      <c r="H1081" s="2490"/>
      <c r="I1081" s="2490"/>
      <c r="J1081" s="2491"/>
      <c r="K1081" s="2482"/>
    </row>
    <row r="1082" spans="1:226" s="2485" customFormat="1" ht="15" hidden="1" customHeight="1">
      <c r="A1082" s="2500"/>
      <c r="B1082" s="2501"/>
      <c r="C1082" s="2493"/>
      <c r="D1082" s="2502"/>
      <c r="E1082" s="2503">
        <v>6060</v>
      </c>
      <c r="F1082" s="2490">
        <f t="shared" si="101"/>
        <v>0</v>
      </c>
      <c r="G1082" s="2490"/>
      <c r="H1082" s="2490"/>
      <c r="I1082" s="2490"/>
      <c r="J1082" s="2491"/>
      <c r="K1082" s="2482"/>
    </row>
    <row r="1083" spans="1:226" s="2485" customFormat="1" ht="15" hidden="1" customHeight="1">
      <c r="A1083" s="2500"/>
      <c r="B1083" s="2501"/>
      <c r="C1083" s="2493"/>
      <c r="D1083" s="2502"/>
      <c r="E1083" s="2489" t="s">
        <v>691</v>
      </c>
      <c r="F1083" s="2490">
        <f t="shared" si="101"/>
        <v>0</v>
      </c>
      <c r="G1083" s="2490"/>
      <c r="H1083" s="2490"/>
      <c r="I1083" s="2490"/>
      <c r="J1083" s="2491"/>
      <c r="K1083" s="2482"/>
    </row>
    <row r="1084" spans="1:226" s="2485" customFormat="1" ht="15" hidden="1" customHeight="1">
      <c r="A1084" s="2500"/>
      <c r="B1084" s="2501"/>
      <c r="C1084" s="2493"/>
      <c r="D1084" s="2502"/>
      <c r="E1084" s="2503">
        <v>6069</v>
      </c>
      <c r="F1084" s="2490">
        <f t="shared" si="101"/>
        <v>0</v>
      </c>
      <c r="G1084" s="2490"/>
      <c r="H1084" s="2490"/>
      <c r="I1084" s="2490"/>
      <c r="J1084" s="2491"/>
      <c r="K1084" s="2482"/>
    </row>
    <row r="1085" spans="1:226" s="2485" customFormat="1" ht="22.5">
      <c r="A1085" s="3112" t="s">
        <v>1142</v>
      </c>
      <c r="B1085" s="3113" t="s">
        <v>1184</v>
      </c>
      <c r="C1085" s="3114">
        <v>600</v>
      </c>
      <c r="D1085" s="3134" t="s">
        <v>682</v>
      </c>
      <c r="E1085" s="2479" t="s">
        <v>1086</v>
      </c>
      <c r="F1085" s="2480">
        <f>SUM(F1086,F1093)</f>
        <v>2535780</v>
      </c>
      <c r="G1085" s="2480">
        <f>SUM(G1086,G1093)</f>
        <v>2535780</v>
      </c>
      <c r="H1085" s="2480">
        <f>SUM(H1086,H1093)</f>
        <v>0</v>
      </c>
      <c r="I1085" s="2480">
        <f>SUM(I1086,I1093)</f>
        <v>0</v>
      </c>
      <c r="J1085" s="2481">
        <f>SUM(J1086,J1093)</f>
        <v>0</v>
      </c>
      <c r="K1085" s="2482"/>
    </row>
    <row r="1086" spans="1:226" s="2485" customFormat="1" ht="15" customHeight="1">
      <c r="A1086" s="3112"/>
      <c r="B1086" s="3113"/>
      <c r="C1086" s="3114"/>
      <c r="D1086" s="3134"/>
      <c r="E1086" s="2486" t="s">
        <v>739</v>
      </c>
      <c r="F1086" s="2487">
        <f>SUM(F1087,F1090)</f>
        <v>0</v>
      </c>
      <c r="G1086" s="2487">
        <f>SUM(G1087,G1090)</f>
        <v>0</v>
      </c>
      <c r="H1086" s="2487">
        <f>SUM(H1087,H1090)</f>
        <v>0</v>
      </c>
      <c r="I1086" s="2487">
        <f>SUM(I1087,I1090)</f>
        <v>0</v>
      </c>
      <c r="J1086" s="2488">
        <f>SUM(J1087,J1090)</f>
        <v>0</v>
      </c>
      <c r="K1086" s="2482"/>
    </row>
    <row r="1087" spans="1:226" s="2485" customFormat="1" ht="15" hidden="1" customHeight="1">
      <c r="A1087" s="3112"/>
      <c r="B1087" s="3113"/>
      <c r="C1087" s="3114"/>
      <c r="D1087" s="3134"/>
      <c r="E1087" s="2497" t="s">
        <v>1093</v>
      </c>
      <c r="F1087" s="2498">
        <f>SUM(F1088:F1089)</f>
        <v>0</v>
      </c>
      <c r="G1087" s="2498">
        <f>SUM(G1088:G1089)</f>
        <v>0</v>
      </c>
      <c r="H1087" s="2498">
        <f>SUM(H1088:H1089)</f>
        <v>0</v>
      </c>
      <c r="I1087" s="2498">
        <f>SUM(I1088:I1089)</f>
        <v>0</v>
      </c>
      <c r="J1087" s="2499">
        <f>SUM(J1088:J1089)</f>
        <v>0</v>
      </c>
      <c r="K1087" s="2482"/>
    </row>
    <row r="1088" spans="1:226" s="2485" customFormat="1" ht="15" hidden="1" customHeight="1">
      <c r="A1088" s="3112"/>
      <c r="B1088" s="3113"/>
      <c r="C1088" s="3114"/>
      <c r="D1088" s="3134"/>
      <c r="E1088" s="2489"/>
      <c r="F1088" s="2490">
        <f>SUM(G1088:J1088)</f>
        <v>0</v>
      </c>
      <c r="G1088" s="2490"/>
      <c r="H1088" s="2490"/>
      <c r="I1088" s="2490"/>
      <c r="J1088" s="2491"/>
      <c r="K1088" s="2482"/>
    </row>
    <row r="1089" spans="1:226" s="2485" customFormat="1" ht="15" hidden="1" customHeight="1">
      <c r="A1089" s="3112"/>
      <c r="B1089" s="3113"/>
      <c r="C1089" s="3114"/>
      <c r="D1089" s="3134"/>
      <c r="E1089" s="2489"/>
      <c r="F1089" s="2490">
        <f>SUM(G1089:J1089)</f>
        <v>0</v>
      </c>
      <c r="G1089" s="2490"/>
      <c r="H1089" s="2490"/>
      <c r="I1089" s="2490"/>
      <c r="J1089" s="2491"/>
      <c r="K1089" s="2482"/>
    </row>
    <row r="1090" spans="1:226" s="2485" customFormat="1" ht="15" hidden="1" customHeight="1">
      <c r="A1090" s="3112"/>
      <c r="B1090" s="3113"/>
      <c r="C1090" s="3114"/>
      <c r="D1090" s="3134"/>
      <c r="E1090" s="2497" t="s">
        <v>1094</v>
      </c>
      <c r="F1090" s="2498">
        <f>SUM(F1091:F1092)</f>
        <v>0</v>
      </c>
      <c r="G1090" s="2498">
        <f>SUM(G1091:G1092)</f>
        <v>0</v>
      </c>
      <c r="H1090" s="2498">
        <f>SUM(H1091:H1092)</f>
        <v>0</v>
      </c>
      <c r="I1090" s="2498">
        <f>SUM(I1091:I1092)</f>
        <v>0</v>
      </c>
      <c r="J1090" s="2499">
        <f>SUM(J1091:J1092)</f>
        <v>0</v>
      </c>
      <c r="K1090" s="2482"/>
    </row>
    <row r="1091" spans="1:226" s="2485" customFormat="1" ht="15" hidden="1" customHeight="1">
      <c r="A1091" s="3112"/>
      <c r="B1091" s="3113"/>
      <c r="C1091" s="3114"/>
      <c r="D1091" s="3134"/>
      <c r="E1091" s="2489"/>
      <c r="F1091" s="2490">
        <f>SUM(G1091:J1091)</f>
        <v>0</v>
      </c>
      <c r="G1091" s="2490"/>
      <c r="H1091" s="2490"/>
      <c r="I1091" s="2490"/>
      <c r="J1091" s="2491"/>
      <c r="K1091" s="2482"/>
    </row>
    <row r="1092" spans="1:226" s="2485" customFormat="1" ht="15" hidden="1" customHeight="1">
      <c r="A1092" s="3112"/>
      <c r="B1092" s="3113"/>
      <c r="C1092" s="3114"/>
      <c r="D1092" s="3134"/>
      <c r="E1092" s="2489"/>
      <c r="F1092" s="2490">
        <f>SUM(G1092:J1092)</f>
        <v>0</v>
      </c>
      <c r="G1092" s="2490"/>
      <c r="H1092" s="2490"/>
      <c r="I1092" s="2490"/>
      <c r="J1092" s="2491"/>
      <c r="K1092" s="2482"/>
    </row>
    <row r="1093" spans="1:226" s="2485" customFormat="1" ht="15" customHeight="1">
      <c r="A1093" s="3112"/>
      <c r="B1093" s="3113"/>
      <c r="C1093" s="3114"/>
      <c r="D1093" s="3134"/>
      <c r="E1093" s="2492" t="s">
        <v>1087</v>
      </c>
      <c r="F1093" s="2487">
        <f>SUM(F1094:F1099)</f>
        <v>2535780</v>
      </c>
      <c r="G1093" s="2487">
        <f>SUM(G1094:G1099)</f>
        <v>2535780</v>
      </c>
      <c r="H1093" s="2487">
        <f>SUM(H1094:H1099)</f>
        <v>0</v>
      </c>
      <c r="I1093" s="2487">
        <f>SUM(I1094:I1099)</f>
        <v>0</v>
      </c>
      <c r="J1093" s="2488">
        <f>SUM(J1094:J1099)</f>
        <v>0</v>
      </c>
      <c r="K1093" s="2482"/>
      <c r="L1093" s="2484"/>
      <c r="M1093" s="2484"/>
      <c r="N1093" s="2484"/>
      <c r="O1093" s="2484"/>
      <c r="P1093" s="2484"/>
      <c r="Q1093" s="2484"/>
      <c r="R1093" s="2484"/>
      <c r="S1093" s="2484"/>
      <c r="T1093" s="2484"/>
      <c r="U1093" s="2484"/>
      <c r="V1093" s="2484"/>
      <c r="W1093" s="2484"/>
      <c r="X1093" s="2484"/>
      <c r="Y1093" s="2484"/>
      <c r="Z1093" s="2484"/>
      <c r="AA1093" s="2484"/>
      <c r="AB1093" s="2484"/>
      <c r="AC1093" s="2484"/>
      <c r="AD1093" s="2484"/>
      <c r="AE1093" s="2484"/>
      <c r="AF1093" s="2484"/>
      <c r="AG1093" s="2484"/>
      <c r="AH1093" s="2484"/>
      <c r="AI1093" s="2484"/>
      <c r="AJ1093" s="2484"/>
      <c r="AK1093" s="2484"/>
      <c r="AL1093" s="2484"/>
      <c r="AM1093" s="2484"/>
      <c r="AN1093" s="2484"/>
      <c r="AO1093" s="2484"/>
      <c r="AP1093" s="2484"/>
      <c r="AQ1093" s="2484"/>
      <c r="AR1093" s="2484"/>
      <c r="AS1093" s="2484"/>
      <c r="AT1093" s="2484"/>
      <c r="AU1093" s="2484"/>
      <c r="AV1093" s="2484"/>
      <c r="AW1093" s="2484"/>
      <c r="AX1093" s="2484"/>
      <c r="AY1093" s="2484"/>
      <c r="AZ1093" s="2484"/>
      <c r="BA1093" s="2484"/>
      <c r="BB1093" s="2484"/>
      <c r="BC1093" s="2484"/>
      <c r="BD1093" s="2484"/>
      <c r="BE1093" s="2484"/>
      <c r="BF1093" s="2484"/>
      <c r="BG1093" s="2484"/>
      <c r="BH1093" s="2484"/>
      <c r="BI1093" s="2484"/>
      <c r="BJ1093" s="2484"/>
      <c r="BK1093" s="2484"/>
      <c r="BL1093" s="2484"/>
      <c r="BM1093" s="2484"/>
      <c r="BN1093" s="2484"/>
      <c r="BO1093" s="2484"/>
      <c r="BP1093" s="2484"/>
      <c r="BQ1093" s="2484"/>
      <c r="BR1093" s="2484"/>
      <c r="BS1093" s="2484"/>
      <c r="BT1093" s="2484"/>
      <c r="BU1093" s="2484"/>
      <c r="BV1093" s="2484"/>
      <c r="BW1093" s="2484"/>
      <c r="BX1093" s="2484"/>
      <c r="BY1093" s="2484"/>
      <c r="BZ1093" s="2484"/>
      <c r="CA1093" s="2484"/>
      <c r="CB1093" s="2484"/>
      <c r="CC1093" s="2484"/>
      <c r="CD1093" s="2484"/>
      <c r="CE1093" s="2484"/>
      <c r="CF1093" s="2484"/>
      <c r="CG1093" s="2484"/>
      <c r="CH1093" s="2484"/>
      <c r="CI1093" s="2484"/>
      <c r="CJ1093" s="2484"/>
      <c r="CK1093" s="2484"/>
      <c r="CL1093" s="2484"/>
      <c r="CM1093" s="2484"/>
      <c r="CN1093" s="2484"/>
      <c r="CO1093" s="2484"/>
      <c r="CP1093" s="2484"/>
      <c r="CQ1093" s="2484"/>
      <c r="CR1093" s="2484"/>
      <c r="CS1093" s="2484"/>
      <c r="CT1093" s="2484"/>
      <c r="CU1093" s="2484"/>
      <c r="CV1093" s="2484"/>
      <c r="CW1093" s="2484"/>
      <c r="CX1093" s="2484"/>
      <c r="CY1093" s="2484"/>
      <c r="CZ1093" s="2484"/>
      <c r="DA1093" s="2484"/>
      <c r="DB1093" s="2484"/>
      <c r="DC1093" s="2484"/>
      <c r="DD1093" s="2484"/>
      <c r="DE1093" s="2484"/>
      <c r="DF1093" s="2484"/>
      <c r="DG1093" s="2484"/>
      <c r="DH1093" s="2484"/>
      <c r="DI1093" s="2484"/>
      <c r="DJ1093" s="2484"/>
      <c r="DK1093" s="2484"/>
      <c r="DL1093" s="2484"/>
      <c r="DM1093" s="2484"/>
      <c r="DN1093" s="2484"/>
      <c r="DO1093" s="2484"/>
      <c r="DP1093" s="2484"/>
      <c r="DQ1093" s="2484"/>
      <c r="DR1093" s="2484"/>
      <c r="DS1093" s="2484"/>
      <c r="DT1093" s="2484"/>
      <c r="DU1093" s="2484"/>
      <c r="DV1093" s="2484"/>
      <c r="DW1093" s="2484"/>
      <c r="DX1093" s="2484"/>
      <c r="DY1093" s="2484"/>
      <c r="DZ1093" s="2484"/>
      <c r="EA1093" s="2484"/>
      <c r="EB1093" s="2484"/>
      <c r="EC1093" s="2484"/>
      <c r="ED1093" s="2484"/>
      <c r="EE1093" s="2484"/>
      <c r="EF1093" s="2484"/>
      <c r="EG1093" s="2484"/>
      <c r="EH1093" s="2484"/>
      <c r="EI1093" s="2484"/>
      <c r="EJ1093" s="2484"/>
      <c r="EK1093" s="2484"/>
      <c r="EL1093" s="2484"/>
      <c r="EM1093" s="2484"/>
      <c r="EN1093" s="2484"/>
      <c r="EO1093" s="2484"/>
      <c r="EP1093" s="2484"/>
      <c r="EQ1093" s="2484"/>
      <c r="ER1093" s="2484"/>
      <c r="ES1093" s="2484"/>
      <c r="ET1093" s="2484"/>
      <c r="EU1093" s="2484"/>
      <c r="EV1093" s="2484"/>
      <c r="EW1093" s="2484"/>
      <c r="EX1093" s="2484"/>
      <c r="EY1093" s="2484"/>
      <c r="EZ1093" s="2484"/>
      <c r="FA1093" s="2484"/>
      <c r="FB1093" s="2484"/>
      <c r="FC1093" s="2484"/>
      <c r="FD1093" s="2484"/>
      <c r="FE1093" s="2484"/>
      <c r="FF1093" s="2484"/>
      <c r="FG1093" s="2484"/>
      <c r="FH1093" s="2484"/>
      <c r="FI1093" s="2484"/>
      <c r="FJ1093" s="2484"/>
      <c r="FK1093" s="2484"/>
      <c r="FL1093" s="2484"/>
      <c r="FM1093" s="2484"/>
      <c r="FN1093" s="2484"/>
      <c r="FO1093" s="2484"/>
      <c r="FP1093" s="2484"/>
      <c r="FQ1093" s="2484"/>
      <c r="FR1093" s="2484"/>
      <c r="FS1093" s="2484"/>
      <c r="FT1093" s="2484"/>
      <c r="FU1093" s="2484"/>
      <c r="FV1093" s="2484"/>
      <c r="FW1093" s="2484"/>
      <c r="FX1093" s="2484"/>
      <c r="FY1093" s="2484"/>
      <c r="FZ1093" s="2484"/>
      <c r="GA1093" s="2484"/>
      <c r="GB1093" s="2484"/>
      <c r="GC1093" s="2484"/>
      <c r="GD1093" s="2484"/>
      <c r="GE1093" s="2484"/>
      <c r="GF1093" s="2484"/>
      <c r="GG1093" s="2484"/>
      <c r="GH1093" s="2484"/>
      <c r="GI1093" s="2484"/>
      <c r="GJ1093" s="2484"/>
      <c r="GK1093" s="2484"/>
      <c r="GL1093" s="2484"/>
      <c r="GM1093" s="2484"/>
      <c r="GN1093" s="2484"/>
      <c r="GO1093" s="2484"/>
      <c r="GP1093" s="2484"/>
      <c r="GQ1093" s="2484"/>
      <c r="GR1093" s="2484"/>
      <c r="GS1093" s="2484"/>
      <c r="GT1093" s="2484"/>
      <c r="GU1093" s="2484"/>
      <c r="GV1093" s="2484"/>
      <c r="GW1093" s="2484"/>
      <c r="GX1093" s="2484"/>
      <c r="GY1093" s="2484"/>
      <c r="GZ1093" s="2484"/>
      <c r="HA1093" s="2484"/>
      <c r="HB1093" s="2484"/>
      <c r="HC1093" s="2484"/>
      <c r="HD1093" s="2484"/>
      <c r="HE1093" s="2484"/>
      <c r="HF1093" s="2484"/>
      <c r="HG1093" s="2484"/>
      <c r="HH1093" s="2484"/>
      <c r="HI1093" s="2484"/>
      <c r="HJ1093" s="2484"/>
      <c r="HK1093" s="2484"/>
      <c r="HL1093" s="2484"/>
      <c r="HM1093" s="2484"/>
      <c r="HN1093" s="2484"/>
      <c r="HO1093" s="2484"/>
      <c r="HP1093" s="2484"/>
      <c r="HQ1093" s="2484"/>
      <c r="HR1093" s="2484"/>
    </row>
    <row r="1094" spans="1:226" s="2485" customFormat="1" ht="15" hidden="1" customHeight="1">
      <c r="A1094" s="3112"/>
      <c r="B1094" s="3113"/>
      <c r="C1094" s="3114"/>
      <c r="D1094" s="3134"/>
      <c r="E1094" s="2489" t="s">
        <v>582</v>
      </c>
      <c r="F1094" s="2490">
        <f t="shared" ref="F1094:F1099" si="102">SUM(G1094:J1094)</f>
        <v>0</v>
      </c>
      <c r="G1094" s="2490"/>
      <c r="H1094" s="2490"/>
      <c r="I1094" s="2490"/>
      <c r="J1094" s="2491"/>
      <c r="K1094" s="2482"/>
    </row>
    <row r="1095" spans="1:226" s="2485" customFormat="1" ht="15" customHeight="1">
      <c r="A1095" s="3112"/>
      <c r="B1095" s="3113"/>
      <c r="C1095" s="3114"/>
      <c r="D1095" s="3134"/>
      <c r="E1095" s="2503">
        <v>6058</v>
      </c>
      <c r="F1095" s="2490">
        <f t="shared" si="102"/>
        <v>2282202</v>
      </c>
      <c r="G1095" s="2490">
        <v>2282202</v>
      </c>
      <c r="H1095" s="2490"/>
      <c r="I1095" s="2490"/>
      <c r="J1095" s="2491"/>
      <c r="K1095" s="2482"/>
    </row>
    <row r="1096" spans="1:226" s="2485" customFormat="1" ht="15" customHeight="1">
      <c r="A1096" s="3112"/>
      <c r="B1096" s="3113"/>
      <c r="C1096" s="3114"/>
      <c r="D1096" s="3134"/>
      <c r="E1096" s="2503">
        <v>6059</v>
      </c>
      <c r="F1096" s="2490">
        <f t="shared" si="102"/>
        <v>253578</v>
      </c>
      <c r="G1096" s="2490">
        <v>253578</v>
      </c>
      <c r="H1096" s="2490"/>
      <c r="I1096" s="2490"/>
      <c r="J1096" s="2491"/>
      <c r="K1096" s="2482"/>
    </row>
    <row r="1097" spans="1:226" s="2485" customFormat="1" ht="15" hidden="1" customHeight="1">
      <c r="A1097" s="3112"/>
      <c r="B1097" s="3113"/>
      <c r="C1097" s="3114"/>
      <c r="D1097" s="3134"/>
      <c r="E1097" s="2503">
        <v>6060</v>
      </c>
      <c r="F1097" s="2490">
        <f t="shared" si="102"/>
        <v>0</v>
      </c>
      <c r="G1097" s="2490"/>
      <c r="H1097" s="2490"/>
      <c r="I1097" s="2490"/>
      <c r="J1097" s="2491"/>
      <c r="K1097" s="2482"/>
    </row>
    <row r="1098" spans="1:226" s="2485" customFormat="1" ht="15" hidden="1" customHeight="1">
      <c r="A1098" s="3112"/>
      <c r="B1098" s="3113"/>
      <c r="C1098" s="3114"/>
      <c r="D1098" s="3134"/>
      <c r="E1098" s="2489" t="s">
        <v>691</v>
      </c>
      <c r="F1098" s="2490">
        <f t="shared" si="102"/>
        <v>0</v>
      </c>
      <c r="G1098" s="2490"/>
      <c r="H1098" s="2490"/>
      <c r="I1098" s="2490"/>
      <c r="J1098" s="2491"/>
      <c r="K1098" s="2482"/>
    </row>
    <row r="1099" spans="1:226" s="2485" customFormat="1" ht="15" hidden="1" customHeight="1">
      <c r="A1099" s="3112"/>
      <c r="B1099" s="3113"/>
      <c r="C1099" s="3114"/>
      <c r="D1099" s="3134"/>
      <c r="E1099" s="2503">
        <v>6069</v>
      </c>
      <c r="F1099" s="2490">
        <f t="shared" si="102"/>
        <v>0</v>
      </c>
      <c r="G1099" s="2490"/>
      <c r="H1099" s="2490"/>
      <c r="I1099" s="2490"/>
      <c r="J1099" s="2491"/>
      <c r="K1099" s="2482"/>
    </row>
    <row r="1100" spans="1:226" s="2485" customFormat="1" ht="22.5">
      <c r="A1100" s="3112" t="s">
        <v>1144</v>
      </c>
      <c r="B1100" s="3113" t="s">
        <v>1185</v>
      </c>
      <c r="C1100" s="3114">
        <v>600</v>
      </c>
      <c r="D1100" s="3134" t="s">
        <v>682</v>
      </c>
      <c r="E1100" s="2479" t="s">
        <v>1086</v>
      </c>
      <c r="F1100" s="2480">
        <f>SUM(F1101,F1108)</f>
        <v>630142</v>
      </c>
      <c r="G1100" s="2480">
        <f>SUM(G1101,G1108)</f>
        <v>630142</v>
      </c>
      <c r="H1100" s="2480">
        <f>SUM(H1101,H1108)</f>
        <v>0</v>
      </c>
      <c r="I1100" s="2480">
        <f>SUM(I1101,I1108)</f>
        <v>0</v>
      </c>
      <c r="J1100" s="2481">
        <f>SUM(J1101,J1108)</f>
        <v>0</v>
      </c>
      <c r="K1100" s="2482"/>
    </row>
    <row r="1101" spans="1:226" s="2485" customFormat="1" ht="15" customHeight="1">
      <c r="A1101" s="3112"/>
      <c r="B1101" s="3113"/>
      <c r="C1101" s="3114"/>
      <c r="D1101" s="3134"/>
      <c r="E1101" s="2486" t="s">
        <v>739</v>
      </c>
      <c r="F1101" s="2487">
        <f>SUM(F1102,F1105)</f>
        <v>0</v>
      </c>
      <c r="G1101" s="2487">
        <f>SUM(G1102,G1105)</f>
        <v>0</v>
      </c>
      <c r="H1101" s="2487">
        <f>SUM(H1102,H1105)</f>
        <v>0</v>
      </c>
      <c r="I1101" s="2487">
        <f>SUM(I1102,I1105)</f>
        <v>0</v>
      </c>
      <c r="J1101" s="2488">
        <f>SUM(J1102,J1105)</f>
        <v>0</v>
      </c>
      <c r="K1101" s="2482"/>
    </row>
    <row r="1102" spans="1:226" s="2485" customFormat="1" ht="15" hidden="1" customHeight="1">
      <c r="A1102" s="3112"/>
      <c r="B1102" s="3113"/>
      <c r="C1102" s="3114"/>
      <c r="D1102" s="3134"/>
      <c r="E1102" s="2497" t="s">
        <v>1093</v>
      </c>
      <c r="F1102" s="2498">
        <f>SUM(F1103:F1104)</f>
        <v>0</v>
      </c>
      <c r="G1102" s="2498">
        <f>SUM(G1103:G1104)</f>
        <v>0</v>
      </c>
      <c r="H1102" s="2498">
        <f>SUM(H1103:H1104)</f>
        <v>0</v>
      </c>
      <c r="I1102" s="2498">
        <f>SUM(I1103:I1104)</f>
        <v>0</v>
      </c>
      <c r="J1102" s="2499">
        <f>SUM(J1103:J1104)</f>
        <v>0</v>
      </c>
      <c r="K1102" s="2482"/>
    </row>
    <row r="1103" spans="1:226" s="2485" customFormat="1" ht="15" hidden="1" customHeight="1">
      <c r="A1103" s="3112"/>
      <c r="B1103" s="3113"/>
      <c r="C1103" s="3114"/>
      <c r="D1103" s="3134"/>
      <c r="E1103" s="2489"/>
      <c r="F1103" s="2490">
        <f>SUM(G1103:J1103)</f>
        <v>0</v>
      </c>
      <c r="G1103" s="2490"/>
      <c r="H1103" s="2490"/>
      <c r="I1103" s="2490"/>
      <c r="J1103" s="2491"/>
      <c r="K1103" s="2482"/>
    </row>
    <row r="1104" spans="1:226" s="2485" customFormat="1" ht="15" hidden="1" customHeight="1">
      <c r="A1104" s="3112"/>
      <c r="B1104" s="3113"/>
      <c r="C1104" s="3114"/>
      <c r="D1104" s="3134"/>
      <c r="E1104" s="2489"/>
      <c r="F1104" s="2490">
        <f>SUM(G1104:J1104)</f>
        <v>0</v>
      </c>
      <c r="G1104" s="2490"/>
      <c r="H1104" s="2490"/>
      <c r="I1104" s="2490"/>
      <c r="J1104" s="2491"/>
      <c r="K1104" s="2482"/>
    </row>
    <row r="1105" spans="1:226" s="2485" customFormat="1" ht="15" hidden="1" customHeight="1">
      <c r="A1105" s="3112"/>
      <c r="B1105" s="3113"/>
      <c r="C1105" s="3114"/>
      <c r="D1105" s="3134"/>
      <c r="E1105" s="2497" t="s">
        <v>1094</v>
      </c>
      <c r="F1105" s="2498">
        <f>SUM(F1106:F1107)</f>
        <v>0</v>
      </c>
      <c r="G1105" s="2498">
        <f>SUM(G1106:G1107)</f>
        <v>0</v>
      </c>
      <c r="H1105" s="2498">
        <f>SUM(H1106:H1107)</f>
        <v>0</v>
      </c>
      <c r="I1105" s="2498">
        <f>SUM(I1106:I1107)</f>
        <v>0</v>
      </c>
      <c r="J1105" s="2499">
        <f>SUM(J1106:J1107)</f>
        <v>0</v>
      </c>
      <c r="K1105" s="2482"/>
    </row>
    <row r="1106" spans="1:226" s="2485" customFormat="1" ht="15" hidden="1" customHeight="1">
      <c r="A1106" s="3112"/>
      <c r="B1106" s="3113"/>
      <c r="C1106" s="3114"/>
      <c r="D1106" s="3134"/>
      <c r="E1106" s="2489"/>
      <c r="F1106" s="2490">
        <f>SUM(G1106:J1106)</f>
        <v>0</v>
      </c>
      <c r="G1106" s="2490"/>
      <c r="H1106" s="2490"/>
      <c r="I1106" s="2490"/>
      <c r="J1106" s="2491"/>
      <c r="K1106" s="2482"/>
    </row>
    <row r="1107" spans="1:226" s="2485" customFormat="1" ht="15" hidden="1" customHeight="1">
      <c r="A1107" s="3112"/>
      <c r="B1107" s="3113"/>
      <c r="C1107" s="3114"/>
      <c r="D1107" s="3134"/>
      <c r="E1107" s="2489"/>
      <c r="F1107" s="2490">
        <f>SUM(G1107:J1107)</f>
        <v>0</v>
      </c>
      <c r="G1107" s="2490"/>
      <c r="H1107" s="2490"/>
      <c r="I1107" s="2490"/>
      <c r="J1107" s="2491"/>
      <c r="K1107" s="2482"/>
    </row>
    <row r="1108" spans="1:226" s="2485" customFormat="1" ht="15" customHeight="1">
      <c r="A1108" s="3112"/>
      <c r="B1108" s="3113"/>
      <c r="C1108" s="3114"/>
      <c r="D1108" s="3134"/>
      <c r="E1108" s="2492" t="s">
        <v>1087</v>
      </c>
      <c r="F1108" s="2487">
        <f>SUM(F1109:F1114)</f>
        <v>630142</v>
      </c>
      <c r="G1108" s="2487">
        <f>SUM(G1109:G1114)</f>
        <v>630142</v>
      </c>
      <c r="H1108" s="2487">
        <f>SUM(H1109:H1114)</f>
        <v>0</v>
      </c>
      <c r="I1108" s="2487">
        <f>SUM(I1109:I1114)</f>
        <v>0</v>
      </c>
      <c r="J1108" s="2488">
        <f>SUM(J1109:J1114)</f>
        <v>0</v>
      </c>
      <c r="K1108" s="2482"/>
      <c r="L1108" s="2484"/>
      <c r="M1108" s="2484"/>
      <c r="N1108" s="2484"/>
      <c r="O1108" s="2484"/>
      <c r="P1108" s="2484"/>
      <c r="Q1108" s="2484"/>
      <c r="R1108" s="2484"/>
      <c r="S1108" s="2484"/>
      <c r="T1108" s="2484"/>
      <c r="U1108" s="2484"/>
      <c r="V1108" s="2484"/>
      <c r="W1108" s="2484"/>
      <c r="X1108" s="2484"/>
      <c r="Y1108" s="2484"/>
      <c r="Z1108" s="2484"/>
      <c r="AA1108" s="2484"/>
      <c r="AB1108" s="2484"/>
      <c r="AC1108" s="2484"/>
      <c r="AD1108" s="2484"/>
      <c r="AE1108" s="2484"/>
      <c r="AF1108" s="2484"/>
      <c r="AG1108" s="2484"/>
      <c r="AH1108" s="2484"/>
      <c r="AI1108" s="2484"/>
      <c r="AJ1108" s="2484"/>
      <c r="AK1108" s="2484"/>
      <c r="AL1108" s="2484"/>
      <c r="AM1108" s="2484"/>
      <c r="AN1108" s="2484"/>
      <c r="AO1108" s="2484"/>
      <c r="AP1108" s="2484"/>
      <c r="AQ1108" s="2484"/>
      <c r="AR1108" s="2484"/>
      <c r="AS1108" s="2484"/>
      <c r="AT1108" s="2484"/>
      <c r="AU1108" s="2484"/>
      <c r="AV1108" s="2484"/>
      <c r="AW1108" s="2484"/>
      <c r="AX1108" s="2484"/>
      <c r="AY1108" s="2484"/>
      <c r="AZ1108" s="2484"/>
      <c r="BA1108" s="2484"/>
      <c r="BB1108" s="2484"/>
      <c r="BC1108" s="2484"/>
      <c r="BD1108" s="2484"/>
      <c r="BE1108" s="2484"/>
      <c r="BF1108" s="2484"/>
      <c r="BG1108" s="2484"/>
      <c r="BH1108" s="2484"/>
      <c r="BI1108" s="2484"/>
      <c r="BJ1108" s="2484"/>
      <c r="BK1108" s="2484"/>
      <c r="BL1108" s="2484"/>
      <c r="BM1108" s="2484"/>
      <c r="BN1108" s="2484"/>
      <c r="BO1108" s="2484"/>
      <c r="BP1108" s="2484"/>
      <c r="BQ1108" s="2484"/>
      <c r="BR1108" s="2484"/>
      <c r="BS1108" s="2484"/>
      <c r="BT1108" s="2484"/>
      <c r="BU1108" s="2484"/>
      <c r="BV1108" s="2484"/>
      <c r="BW1108" s="2484"/>
      <c r="BX1108" s="2484"/>
      <c r="BY1108" s="2484"/>
      <c r="BZ1108" s="2484"/>
      <c r="CA1108" s="2484"/>
      <c r="CB1108" s="2484"/>
      <c r="CC1108" s="2484"/>
      <c r="CD1108" s="2484"/>
      <c r="CE1108" s="2484"/>
      <c r="CF1108" s="2484"/>
      <c r="CG1108" s="2484"/>
      <c r="CH1108" s="2484"/>
      <c r="CI1108" s="2484"/>
      <c r="CJ1108" s="2484"/>
      <c r="CK1108" s="2484"/>
      <c r="CL1108" s="2484"/>
      <c r="CM1108" s="2484"/>
      <c r="CN1108" s="2484"/>
      <c r="CO1108" s="2484"/>
      <c r="CP1108" s="2484"/>
      <c r="CQ1108" s="2484"/>
      <c r="CR1108" s="2484"/>
      <c r="CS1108" s="2484"/>
      <c r="CT1108" s="2484"/>
      <c r="CU1108" s="2484"/>
      <c r="CV1108" s="2484"/>
      <c r="CW1108" s="2484"/>
      <c r="CX1108" s="2484"/>
      <c r="CY1108" s="2484"/>
      <c r="CZ1108" s="2484"/>
      <c r="DA1108" s="2484"/>
      <c r="DB1108" s="2484"/>
      <c r="DC1108" s="2484"/>
      <c r="DD1108" s="2484"/>
      <c r="DE1108" s="2484"/>
      <c r="DF1108" s="2484"/>
      <c r="DG1108" s="2484"/>
      <c r="DH1108" s="2484"/>
      <c r="DI1108" s="2484"/>
      <c r="DJ1108" s="2484"/>
      <c r="DK1108" s="2484"/>
      <c r="DL1108" s="2484"/>
      <c r="DM1108" s="2484"/>
      <c r="DN1108" s="2484"/>
      <c r="DO1108" s="2484"/>
      <c r="DP1108" s="2484"/>
      <c r="DQ1108" s="2484"/>
      <c r="DR1108" s="2484"/>
      <c r="DS1108" s="2484"/>
      <c r="DT1108" s="2484"/>
      <c r="DU1108" s="2484"/>
      <c r="DV1108" s="2484"/>
      <c r="DW1108" s="2484"/>
      <c r="DX1108" s="2484"/>
      <c r="DY1108" s="2484"/>
      <c r="DZ1108" s="2484"/>
      <c r="EA1108" s="2484"/>
      <c r="EB1108" s="2484"/>
      <c r="EC1108" s="2484"/>
      <c r="ED1108" s="2484"/>
      <c r="EE1108" s="2484"/>
      <c r="EF1108" s="2484"/>
      <c r="EG1108" s="2484"/>
      <c r="EH1108" s="2484"/>
      <c r="EI1108" s="2484"/>
      <c r="EJ1108" s="2484"/>
      <c r="EK1108" s="2484"/>
      <c r="EL1108" s="2484"/>
      <c r="EM1108" s="2484"/>
      <c r="EN1108" s="2484"/>
      <c r="EO1108" s="2484"/>
      <c r="EP1108" s="2484"/>
      <c r="EQ1108" s="2484"/>
      <c r="ER1108" s="2484"/>
      <c r="ES1108" s="2484"/>
      <c r="ET1108" s="2484"/>
      <c r="EU1108" s="2484"/>
      <c r="EV1108" s="2484"/>
      <c r="EW1108" s="2484"/>
      <c r="EX1108" s="2484"/>
      <c r="EY1108" s="2484"/>
      <c r="EZ1108" s="2484"/>
      <c r="FA1108" s="2484"/>
      <c r="FB1108" s="2484"/>
      <c r="FC1108" s="2484"/>
      <c r="FD1108" s="2484"/>
      <c r="FE1108" s="2484"/>
      <c r="FF1108" s="2484"/>
      <c r="FG1108" s="2484"/>
      <c r="FH1108" s="2484"/>
      <c r="FI1108" s="2484"/>
      <c r="FJ1108" s="2484"/>
      <c r="FK1108" s="2484"/>
      <c r="FL1108" s="2484"/>
      <c r="FM1108" s="2484"/>
      <c r="FN1108" s="2484"/>
      <c r="FO1108" s="2484"/>
      <c r="FP1108" s="2484"/>
      <c r="FQ1108" s="2484"/>
      <c r="FR1108" s="2484"/>
      <c r="FS1108" s="2484"/>
      <c r="FT1108" s="2484"/>
      <c r="FU1108" s="2484"/>
      <c r="FV1108" s="2484"/>
      <c r="FW1108" s="2484"/>
      <c r="FX1108" s="2484"/>
      <c r="FY1108" s="2484"/>
      <c r="FZ1108" s="2484"/>
      <c r="GA1108" s="2484"/>
      <c r="GB1108" s="2484"/>
      <c r="GC1108" s="2484"/>
      <c r="GD1108" s="2484"/>
      <c r="GE1108" s="2484"/>
      <c r="GF1108" s="2484"/>
      <c r="GG1108" s="2484"/>
      <c r="GH1108" s="2484"/>
      <c r="GI1108" s="2484"/>
      <c r="GJ1108" s="2484"/>
      <c r="GK1108" s="2484"/>
      <c r="GL1108" s="2484"/>
      <c r="GM1108" s="2484"/>
      <c r="GN1108" s="2484"/>
      <c r="GO1108" s="2484"/>
      <c r="GP1108" s="2484"/>
      <c r="GQ1108" s="2484"/>
      <c r="GR1108" s="2484"/>
      <c r="GS1108" s="2484"/>
      <c r="GT1108" s="2484"/>
      <c r="GU1108" s="2484"/>
      <c r="GV1108" s="2484"/>
      <c r="GW1108" s="2484"/>
      <c r="GX1108" s="2484"/>
      <c r="GY1108" s="2484"/>
      <c r="GZ1108" s="2484"/>
      <c r="HA1108" s="2484"/>
      <c r="HB1108" s="2484"/>
      <c r="HC1108" s="2484"/>
      <c r="HD1108" s="2484"/>
      <c r="HE1108" s="2484"/>
      <c r="HF1108" s="2484"/>
      <c r="HG1108" s="2484"/>
      <c r="HH1108" s="2484"/>
      <c r="HI1108" s="2484"/>
      <c r="HJ1108" s="2484"/>
      <c r="HK1108" s="2484"/>
      <c r="HL1108" s="2484"/>
      <c r="HM1108" s="2484"/>
      <c r="HN1108" s="2484"/>
      <c r="HO1108" s="2484"/>
      <c r="HP1108" s="2484"/>
      <c r="HQ1108" s="2484"/>
      <c r="HR1108" s="2484"/>
    </row>
    <row r="1109" spans="1:226" s="2485" customFormat="1" ht="15" hidden="1" customHeight="1">
      <c r="A1109" s="3112"/>
      <c r="B1109" s="3113"/>
      <c r="C1109" s="3114"/>
      <c r="D1109" s="3134"/>
      <c r="E1109" s="2489" t="s">
        <v>582</v>
      </c>
      <c r="F1109" s="2490">
        <f t="shared" ref="F1109:F1114" si="103">SUM(G1109:J1109)</f>
        <v>0</v>
      </c>
      <c r="G1109" s="2490"/>
      <c r="H1109" s="2490"/>
      <c r="I1109" s="2490"/>
      <c r="J1109" s="2491"/>
      <c r="K1109" s="2482"/>
    </row>
    <row r="1110" spans="1:226" s="2485" customFormat="1" ht="15" customHeight="1">
      <c r="A1110" s="3112"/>
      <c r="B1110" s="3113"/>
      <c r="C1110" s="3114"/>
      <c r="D1110" s="3134"/>
      <c r="E1110" s="2503">
        <v>6058</v>
      </c>
      <c r="F1110" s="2490">
        <f t="shared" si="103"/>
        <v>567127</v>
      </c>
      <c r="G1110" s="2490">
        <v>567127</v>
      </c>
      <c r="H1110" s="2490"/>
      <c r="I1110" s="2490"/>
      <c r="J1110" s="2491"/>
      <c r="K1110" s="2482"/>
    </row>
    <row r="1111" spans="1:226" s="2485" customFormat="1" ht="15" customHeight="1">
      <c r="A1111" s="3112"/>
      <c r="B1111" s="3113"/>
      <c r="C1111" s="3114"/>
      <c r="D1111" s="3134"/>
      <c r="E1111" s="2503">
        <v>6059</v>
      </c>
      <c r="F1111" s="2490">
        <f t="shared" si="103"/>
        <v>63015</v>
      </c>
      <c r="G1111" s="2490">
        <v>63015</v>
      </c>
      <c r="H1111" s="2490"/>
      <c r="I1111" s="2490"/>
      <c r="J1111" s="2491"/>
      <c r="K1111" s="2482"/>
    </row>
    <row r="1112" spans="1:226" s="2485" customFormat="1" ht="15" hidden="1" customHeight="1">
      <c r="A1112" s="3112"/>
      <c r="B1112" s="3113"/>
      <c r="C1112" s="3114"/>
      <c r="D1112" s="3134"/>
      <c r="E1112" s="2503">
        <v>6060</v>
      </c>
      <c r="F1112" s="2490">
        <f t="shared" si="103"/>
        <v>0</v>
      </c>
      <c r="G1112" s="2490"/>
      <c r="H1112" s="2490"/>
      <c r="I1112" s="2490"/>
      <c r="J1112" s="2491"/>
      <c r="K1112" s="2482"/>
    </row>
    <row r="1113" spans="1:226" s="2485" customFormat="1" ht="15" hidden="1" customHeight="1">
      <c r="A1113" s="3112"/>
      <c r="B1113" s="3113"/>
      <c r="C1113" s="3114"/>
      <c r="D1113" s="3134"/>
      <c r="E1113" s="2489" t="s">
        <v>691</v>
      </c>
      <c r="F1113" s="2490">
        <f t="shared" si="103"/>
        <v>0</v>
      </c>
      <c r="G1113" s="2490"/>
      <c r="H1113" s="2490"/>
      <c r="I1113" s="2490"/>
      <c r="J1113" s="2491"/>
      <c r="K1113" s="2482"/>
    </row>
    <row r="1114" spans="1:226" s="2485" customFormat="1" ht="15" hidden="1" customHeight="1">
      <c r="A1114" s="3112"/>
      <c r="B1114" s="3113"/>
      <c r="C1114" s="3114"/>
      <c r="D1114" s="3134"/>
      <c r="E1114" s="2503">
        <v>6069</v>
      </c>
      <c r="F1114" s="2490">
        <f t="shared" si="103"/>
        <v>0</v>
      </c>
      <c r="G1114" s="2490"/>
      <c r="H1114" s="2490"/>
      <c r="I1114" s="2490"/>
      <c r="J1114" s="2491"/>
      <c r="K1114" s="2482"/>
    </row>
    <row r="1115" spans="1:226" s="2523" customFormat="1" ht="30" customHeight="1">
      <c r="A1115" s="2476" t="s">
        <v>1186</v>
      </c>
      <c r="B1115" s="3108" t="s">
        <v>1187</v>
      </c>
      <c r="C1115" s="3108"/>
      <c r="D1115" s="3108"/>
      <c r="E1115" s="3108"/>
      <c r="F1115" s="2525">
        <f>F1117</f>
        <v>963700</v>
      </c>
      <c r="G1115" s="2525">
        <f t="shared" ref="G1115:J1115" si="104">G1117</f>
        <v>144555</v>
      </c>
      <c r="H1115" s="2525">
        <f t="shared" si="104"/>
        <v>819145</v>
      </c>
      <c r="I1115" s="2525">
        <f t="shared" si="104"/>
        <v>0</v>
      </c>
      <c r="J1115" s="2527">
        <f t="shared" si="104"/>
        <v>0</v>
      </c>
      <c r="K1115" s="2482"/>
    </row>
    <row r="1116" spans="1:226" s="2523" customFormat="1" ht="15" customHeight="1">
      <c r="A1116" s="3164"/>
      <c r="B1116" s="3165"/>
      <c r="C1116" s="3165"/>
      <c r="D1116" s="3165"/>
      <c r="E1116" s="3165"/>
      <c r="F1116" s="3165"/>
      <c r="G1116" s="3165"/>
      <c r="H1116" s="3165"/>
      <c r="I1116" s="3165"/>
      <c r="J1116" s="3166"/>
      <c r="K1116" s="2482"/>
      <c r="L1116" s="2482"/>
      <c r="M1116" s="2482"/>
      <c r="N1116" s="2482"/>
      <c r="O1116" s="2482"/>
      <c r="P1116" s="2482"/>
      <c r="Q1116" s="2482"/>
      <c r="R1116" s="2482"/>
      <c r="S1116" s="2482"/>
      <c r="T1116" s="2482"/>
      <c r="U1116" s="2482"/>
      <c r="V1116" s="2482"/>
      <c r="W1116" s="2482"/>
      <c r="X1116" s="2482"/>
      <c r="Y1116" s="2482"/>
      <c r="Z1116" s="2482"/>
      <c r="AA1116" s="2482"/>
      <c r="AB1116" s="2482"/>
      <c r="AC1116" s="2482"/>
      <c r="AD1116" s="2482"/>
      <c r="AE1116" s="2482"/>
      <c r="AF1116" s="2482"/>
      <c r="AG1116" s="2482"/>
      <c r="AH1116" s="2482"/>
      <c r="AI1116" s="2482"/>
      <c r="AJ1116" s="2482"/>
      <c r="AK1116" s="2482"/>
      <c r="AL1116" s="2482"/>
      <c r="AM1116" s="2482"/>
      <c r="AN1116" s="2482"/>
      <c r="AO1116" s="2482"/>
      <c r="AP1116" s="2482"/>
      <c r="AQ1116" s="2482"/>
      <c r="AR1116" s="2482"/>
      <c r="AS1116" s="2482"/>
      <c r="AT1116" s="2482"/>
      <c r="AU1116" s="2482"/>
      <c r="AV1116" s="2482"/>
      <c r="AW1116" s="2482"/>
      <c r="AX1116" s="2482"/>
      <c r="AY1116" s="2482"/>
      <c r="AZ1116" s="2482"/>
      <c r="BA1116" s="2482"/>
      <c r="BB1116" s="2482"/>
      <c r="BC1116" s="2482"/>
      <c r="BD1116" s="2482"/>
      <c r="BE1116" s="2482"/>
      <c r="BF1116" s="2482"/>
      <c r="BG1116" s="2482"/>
      <c r="BH1116" s="2482"/>
      <c r="BI1116" s="2482"/>
      <c r="BJ1116" s="2482"/>
      <c r="BK1116" s="2482"/>
      <c r="BL1116" s="2482"/>
      <c r="BM1116" s="2482"/>
      <c r="BN1116" s="2482"/>
      <c r="BO1116" s="2482"/>
      <c r="BP1116" s="2482"/>
      <c r="BQ1116" s="2482"/>
      <c r="BR1116" s="2482"/>
      <c r="BS1116" s="2482"/>
      <c r="BT1116" s="2482"/>
      <c r="BU1116" s="2482"/>
      <c r="BV1116" s="2482"/>
      <c r="BW1116" s="2482"/>
      <c r="BX1116" s="2482"/>
      <c r="BY1116" s="2482"/>
      <c r="BZ1116" s="2482"/>
      <c r="CA1116" s="2482"/>
      <c r="CB1116" s="2482"/>
      <c r="CC1116" s="2482"/>
      <c r="CD1116" s="2482"/>
      <c r="CE1116" s="2482"/>
      <c r="CF1116" s="2482"/>
      <c r="CG1116" s="2482"/>
      <c r="CH1116" s="2482"/>
      <c r="CI1116" s="2482"/>
      <c r="CJ1116" s="2482"/>
      <c r="CK1116" s="2482"/>
      <c r="CL1116" s="2482"/>
      <c r="CM1116" s="2482"/>
      <c r="CN1116" s="2482"/>
      <c r="CO1116" s="2482"/>
      <c r="CP1116" s="2482"/>
      <c r="CQ1116" s="2482"/>
      <c r="CR1116" s="2482"/>
      <c r="CS1116" s="2482"/>
      <c r="CT1116" s="2482"/>
      <c r="CU1116" s="2482"/>
      <c r="CV1116" s="2482"/>
      <c r="CW1116" s="2482"/>
      <c r="CX1116" s="2482"/>
      <c r="CY1116" s="2482"/>
      <c r="CZ1116" s="2482"/>
      <c r="DA1116" s="2482"/>
      <c r="DB1116" s="2482"/>
      <c r="DC1116" s="2482"/>
      <c r="DD1116" s="2482"/>
      <c r="DE1116" s="2482"/>
      <c r="DF1116" s="2482"/>
      <c r="DG1116" s="2482"/>
      <c r="DH1116" s="2482"/>
      <c r="DI1116" s="2482"/>
      <c r="DJ1116" s="2482"/>
      <c r="DK1116" s="2482"/>
      <c r="DL1116" s="2482"/>
      <c r="DM1116" s="2482"/>
      <c r="DN1116" s="2482"/>
      <c r="DO1116" s="2482"/>
      <c r="DP1116" s="2482"/>
      <c r="DQ1116" s="2482"/>
      <c r="DR1116" s="2482"/>
      <c r="DS1116" s="2482"/>
      <c r="DT1116" s="2482"/>
      <c r="DU1116" s="2482"/>
      <c r="DV1116" s="2482"/>
      <c r="DW1116" s="2482"/>
      <c r="DX1116" s="2482"/>
      <c r="DY1116" s="2482"/>
      <c r="DZ1116" s="2482"/>
      <c r="EA1116" s="2482"/>
      <c r="EB1116" s="2482"/>
      <c r="EC1116" s="2482"/>
      <c r="ED1116" s="2482"/>
      <c r="EE1116" s="2482"/>
      <c r="EF1116" s="2482"/>
      <c r="EG1116" s="2482"/>
      <c r="EH1116" s="2482"/>
      <c r="EI1116" s="2482"/>
      <c r="EJ1116" s="2482"/>
      <c r="EK1116" s="2482"/>
      <c r="EL1116" s="2482"/>
      <c r="EM1116" s="2482"/>
      <c r="EN1116" s="2482"/>
      <c r="EO1116" s="2482"/>
      <c r="EP1116" s="2482"/>
      <c r="EQ1116" s="2482"/>
      <c r="ER1116" s="2482"/>
      <c r="ES1116" s="2482"/>
      <c r="ET1116" s="2482"/>
      <c r="EU1116" s="2482"/>
      <c r="EV1116" s="2482"/>
      <c r="EW1116" s="2482"/>
      <c r="EX1116" s="2482"/>
      <c r="EY1116" s="2482"/>
      <c r="EZ1116" s="2482"/>
      <c r="FA1116" s="2482"/>
      <c r="FB1116" s="2482"/>
      <c r="FC1116" s="2482"/>
      <c r="FD1116" s="2482"/>
      <c r="FE1116" s="2482"/>
      <c r="FF1116" s="2482"/>
      <c r="FG1116" s="2482"/>
      <c r="FH1116" s="2482"/>
      <c r="FI1116" s="2482"/>
      <c r="FJ1116" s="2482"/>
      <c r="FK1116" s="2482"/>
      <c r="FL1116" s="2482"/>
      <c r="FM1116" s="2482"/>
      <c r="FN1116" s="2482"/>
      <c r="FO1116" s="2482"/>
      <c r="FP1116" s="2482"/>
      <c r="FQ1116" s="2482"/>
      <c r="FR1116" s="2482"/>
      <c r="FS1116" s="2482"/>
      <c r="FT1116" s="2482"/>
      <c r="FU1116" s="2482"/>
      <c r="FV1116" s="2482"/>
      <c r="FW1116" s="2482"/>
      <c r="FX1116" s="2482"/>
      <c r="FY1116" s="2482"/>
      <c r="FZ1116" s="2482"/>
      <c r="GA1116" s="2482"/>
      <c r="GB1116" s="2482"/>
      <c r="GC1116" s="2482"/>
      <c r="GD1116" s="2482"/>
      <c r="GE1116" s="2482"/>
      <c r="GF1116" s="2482"/>
      <c r="GG1116" s="2482"/>
      <c r="GH1116" s="2482"/>
      <c r="GI1116" s="2482"/>
      <c r="GJ1116" s="2482"/>
      <c r="GK1116" s="2482"/>
      <c r="GL1116" s="2482"/>
      <c r="GM1116" s="2482"/>
      <c r="GN1116" s="2482"/>
      <c r="GO1116" s="2482"/>
      <c r="GP1116" s="2482"/>
      <c r="GQ1116" s="2482"/>
      <c r="GR1116" s="2482"/>
      <c r="GS1116" s="2482"/>
      <c r="GT1116" s="2482"/>
      <c r="GU1116" s="2482"/>
      <c r="GV1116" s="2482"/>
      <c r="GW1116" s="2482"/>
      <c r="GX1116" s="2482"/>
      <c r="GY1116" s="2482"/>
      <c r="GZ1116" s="2482"/>
      <c r="HA1116" s="2482"/>
      <c r="HB1116" s="2482"/>
      <c r="HC1116" s="2482"/>
      <c r="HD1116" s="2482"/>
      <c r="HE1116" s="2482"/>
      <c r="HF1116" s="2482"/>
      <c r="HG1116" s="2482"/>
      <c r="HH1116" s="2482"/>
      <c r="HI1116" s="2482"/>
      <c r="HJ1116" s="2482"/>
      <c r="HK1116" s="2482"/>
      <c r="HL1116" s="2482"/>
      <c r="HM1116" s="2482"/>
      <c r="HN1116" s="2482"/>
      <c r="HO1116" s="2482"/>
      <c r="HP1116" s="2482"/>
      <c r="HQ1116" s="2482"/>
      <c r="HR1116" s="2482"/>
    </row>
    <row r="1117" spans="1:226" s="2523" customFormat="1" ht="22.5" customHeight="1">
      <c r="A1117" s="3139" t="s">
        <v>1084</v>
      </c>
      <c r="B1117" s="3148" t="s">
        <v>1188</v>
      </c>
      <c r="C1117" s="3117" t="s">
        <v>174</v>
      </c>
      <c r="D1117" s="3117" t="s">
        <v>968</v>
      </c>
      <c r="E1117" s="2479" t="s">
        <v>1086</v>
      </c>
      <c r="F1117" s="2480">
        <f>SUM(F1118,F1125)</f>
        <v>963700</v>
      </c>
      <c r="G1117" s="2480">
        <f>SUM(G1118,G1125)</f>
        <v>144555</v>
      </c>
      <c r="H1117" s="2480">
        <f>SUM(H1118,H1125)</f>
        <v>819145</v>
      </c>
      <c r="I1117" s="2480">
        <f>SUM(I1118,I1125)</f>
        <v>0</v>
      </c>
      <c r="J1117" s="2481">
        <f>SUM(J1118,J1125)</f>
        <v>0</v>
      </c>
      <c r="K1117" s="2482"/>
    </row>
    <row r="1118" spans="1:226" s="2523" customFormat="1" ht="12">
      <c r="A1118" s="3140"/>
      <c r="B1118" s="3149"/>
      <c r="C1118" s="3146"/>
      <c r="D1118" s="3146"/>
      <c r="E1118" s="2486" t="s">
        <v>739</v>
      </c>
      <c r="F1118" s="2487">
        <f>SUM(F1119,F1122)</f>
        <v>963700</v>
      </c>
      <c r="G1118" s="2487">
        <f>SUM(G1119,G1122)</f>
        <v>144555</v>
      </c>
      <c r="H1118" s="2487">
        <f>SUM(H1119,H1122)</f>
        <v>819145</v>
      </c>
      <c r="I1118" s="2487">
        <f>SUM(I1119,I1122)</f>
        <v>0</v>
      </c>
      <c r="J1118" s="2488">
        <f>SUM(J1119,J1122)</f>
        <v>0</v>
      </c>
      <c r="K1118" s="2482"/>
    </row>
    <row r="1119" spans="1:226" s="2523" customFormat="1" ht="22.5" hidden="1" customHeight="1">
      <c r="A1119" s="3140"/>
      <c r="B1119" s="3149"/>
      <c r="C1119" s="3146"/>
      <c r="D1119" s="3146"/>
      <c r="E1119" s="2497" t="s">
        <v>1093</v>
      </c>
      <c r="F1119" s="2498">
        <f>SUM(F1120:F1121)</f>
        <v>0</v>
      </c>
      <c r="G1119" s="2498">
        <f>SUM(G1120:G1121)</f>
        <v>0</v>
      </c>
      <c r="H1119" s="2498">
        <f>SUM(H1120:H1121)</f>
        <v>0</v>
      </c>
      <c r="I1119" s="2498">
        <f>SUM(I1120:I1121)</f>
        <v>0</v>
      </c>
      <c r="J1119" s="2499">
        <f>SUM(J1120:J1121)</f>
        <v>0</v>
      </c>
      <c r="K1119" s="2482"/>
    </row>
    <row r="1120" spans="1:226" s="2523" customFormat="1" ht="15" hidden="1" customHeight="1">
      <c r="A1120" s="3140"/>
      <c r="B1120" s="3149"/>
      <c r="C1120" s="3146"/>
      <c r="D1120" s="3146"/>
      <c r="E1120" s="2489"/>
      <c r="F1120" s="2490">
        <f>SUM(G1120:J1120)</f>
        <v>0</v>
      </c>
      <c r="G1120" s="2490"/>
      <c r="H1120" s="2490"/>
      <c r="I1120" s="2490"/>
      <c r="J1120" s="2491"/>
      <c r="K1120" s="2482"/>
    </row>
    <row r="1121" spans="1:226" s="2523" customFormat="1" ht="15" hidden="1" customHeight="1">
      <c r="A1121" s="3140"/>
      <c r="B1121" s="3149"/>
      <c r="C1121" s="3146"/>
      <c r="D1121" s="3146"/>
      <c r="E1121" s="2489"/>
      <c r="F1121" s="2490">
        <f>SUM(G1121:J1121)</f>
        <v>0</v>
      </c>
      <c r="G1121" s="2490"/>
      <c r="H1121" s="2490"/>
      <c r="I1121" s="2490"/>
      <c r="J1121" s="2491"/>
      <c r="K1121" s="2482"/>
    </row>
    <row r="1122" spans="1:226" s="2523" customFormat="1" ht="22.5">
      <c r="A1122" s="3140"/>
      <c r="B1122" s="3149"/>
      <c r="C1122" s="3146"/>
      <c r="D1122" s="3146"/>
      <c r="E1122" s="2497" t="s">
        <v>1094</v>
      </c>
      <c r="F1122" s="2498">
        <f>SUM(F1123:F1124)</f>
        <v>963700</v>
      </c>
      <c r="G1122" s="2498">
        <f>SUM(G1123:G1124)</f>
        <v>144555</v>
      </c>
      <c r="H1122" s="2498">
        <f>SUM(H1123:H1124)</f>
        <v>819145</v>
      </c>
      <c r="I1122" s="2498">
        <f>SUM(I1123:I1124)</f>
        <v>0</v>
      </c>
      <c r="J1122" s="2499">
        <f>SUM(J1123:J1124)</f>
        <v>0</v>
      </c>
      <c r="K1122" s="2482"/>
    </row>
    <row r="1123" spans="1:226" s="2523" customFormat="1" ht="15" customHeight="1">
      <c r="A1123" s="3140"/>
      <c r="B1123" s="3149"/>
      <c r="C1123" s="3146"/>
      <c r="D1123" s="3146"/>
      <c r="E1123" s="2489" t="s">
        <v>652</v>
      </c>
      <c r="F1123" s="2490">
        <f>SUM(G1123:J1123)</f>
        <v>819145</v>
      </c>
      <c r="G1123" s="2490"/>
      <c r="H1123" s="2490">
        <v>819145</v>
      </c>
      <c r="I1123" s="2490"/>
      <c r="J1123" s="2491"/>
      <c r="K1123" s="2482"/>
    </row>
    <row r="1124" spans="1:226" s="2523" customFormat="1" ht="15" customHeight="1">
      <c r="A1124" s="3140"/>
      <c r="B1124" s="3149"/>
      <c r="C1124" s="3146"/>
      <c r="D1124" s="3146"/>
      <c r="E1124" s="2489" t="s">
        <v>609</v>
      </c>
      <c r="F1124" s="2490">
        <f>SUM(G1124:J1124)</f>
        <v>144555</v>
      </c>
      <c r="G1124" s="2490">
        <v>144555</v>
      </c>
      <c r="H1124" s="2490"/>
      <c r="I1124" s="2490"/>
      <c r="J1124" s="2491"/>
      <c r="K1124" s="2482"/>
    </row>
    <row r="1125" spans="1:226" s="2523" customFormat="1" ht="12">
      <c r="A1125" s="3141"/>
      <c r="B1125" s="3150"/>
      <c r="C1125" s="3118"/>
      <c r="D1125" s="3118"/>
      <c r="E1125" s="2492" t="s">
        <v>1087</v>
      </c>
      <c r="F1125" s="2487">
        <f>SUM(F1126:F1126)</f>
        <v>0</v>
      </c>
      <c r="G1125" s="2487">
        <f>SUM(G1126:G1126)</f>
        <v>0</v>
      </c>
      <c r="H1125" s="2487">
        <f>SUM(H1126:H1126)</f>
        <v>0</v>
      </c>
      <c r="I1125" s="2487">
        <f>SUM(I1126:I1126)</f>
        <v>0</v>
      </c>
      <c r="J1125" s="2488">
        <f>SUM(J1126:J1126)</f>
        <v>0</v>
      </c>
      <c r="K1125" s="2482"/>
    </row>
    <row r="1126" spans="1:226" s="2485" customFormat="1" ht="15" hidden="1" customHeight="1">
      <c r="A1126" s="2500"/>
      <c r="B1126" s="2501"/>
      <c r="C1126" s="2502"/>
      <c r="D1126" s="2502"/>
      <c r="E1126" s="2508"/>
      <c r="F1126" s="2509">
        <f>SUM(G1126:J1126)</f>
        <v>0</v>
      </c>
      <c r="G1126" s="2509"/>
      <c r="H1126" s="2509"/>
      <c r="I1126" s="2509">
        <f>223000-223000</f>
        <v>0</v>
      </c>
      <c r="J1126" s="2510"/>
      <c r="K1126" s="2482"/>
    </row>
    <row r="1127" spans="1:226" s="2523" customFormat="1" ht="30" customHeight="1">
      <c r="A1127" s="2476" t="s">
        <v>1189</v>
      </c>
      <c r="B1127" s="3167" t="s">
        <v>1190</v>
      </c>
      <c r="C1127" s="3167"/>
      <c r="D1127" s="3167"/>
      <c r="E1127" s="3167"/>
      <c r="F1127" s="2525">
        <f>F1129</f>
        <v>1831388</v>
      </c>
      <c r="G1127" s="2525">
        <f t="shared" ref="G1127:J1127" si="105">G1129</f>
        <v>539647</v>
      </c>
      <c r="H1127" s="2525">
        <f t="shared" si="105"/>
        <v>952109</v>
      </c>
      <c r="I1127" s="2525">
        <f t="shared" si="105"/>
        <v>339632</v>
      </c>
      <c r="J1127" s="2527">
        <f t="shared" si="105"/>
        <v>0</v>
      </c>
      <c r="K1127" s="2482"/>
    </row>
    <row r="1128" spans="1:226" s="2523" customFormat="1" ht="15" customHeight="1">
      <c r="A1128" s="3164"/>
      <c r="B1128" s="3165"/>
      <c r="C1128" s="3165"/>
      <c r="D1128" s="3165"/>
      <c r="E1128" s="3165"/>
      <c r="F1128" s="3165"/>
      <c r="G1128" s="3165"/>
      <c r="H1128" s="3165"/>
      <c r="I1128" s="3165"/>
      <c r="J1128" s="3166"/>
      <c r="K1128" s="2482"/>
      <c r="L1128" s="2482"/>
      <c r="M1128" s="2482"/>
      <c r="N1128" s="2482"/>
      <c r="O1128" s="2482"/>
      <c r="P1128" s="2482"/>
      <c r="Q1128" s="2482"/>
      <c r="R1128" s="2482"/>
      <c r="S1128" s="2482"/>
      <c r="T1128" s="2482"/>
      <c r="U1128" s="2482"/>
      <c r="V1128" s="2482"/>
      <c r="W1128" s="2482"/>
      <c r="X1128" s="2482"/>
      <c r="Y1128" s="2482"/>
      <c r="Z1128" s="2482"/>
      <c r="AA1128" s="2482"/>
      <c r="AB1128" s="2482"/>
      <c r="AC1128" s="2482"/>
      <c r="AD1128" s="2482"/>
      <c r="AE1128" s="2482"/>
      <c r="AF1128" s="2482"/>
      <c r="AG1128" s="2482"/>
      <c r="AH1128" s="2482"/>
      <c r="AI1128" s="2482"/>
      <c r="AJ1128" s="2482"/>
      <c r="AK1128" s="2482"/>
      <c r="AL1128" s="2482"/>
      <c r="AM1128" s="2482"/>
      <c r="AN1128" s="2482"/>
      <c r="AO1128" s="2482"/>
      <c r="AP1128" s="2482"/>
      <c r="AQ1128" s="2482"/>
      <c r="AR1128" s="2482"/>
      <c r="AS1128" s="2482"/>
      <c r="AT1128" s="2482"/>
      <c r="AU1128" s="2482"/>
      <c r="AV1128" s="2482"/>
      <c r="AW1128" s="2482"/>
      <c r="AX1128" s="2482"/>
      <c r="AY1128" s="2482"/>
      <c r="AZ1128" s="2482"/>
      <c r="BA1128" s="2482"/>
      <c r="BB1128" s="2482"/>
      <c r="BC1128" s="2482"/>
      <c r="BD1128" s="2482"/>
      <c r="BE1128" s="2482"/>
      <c r="BF1128" s="2482"/>
      <c r="BG1128" s="2482"/>
      <c r="BH1128" s="2482"/>
      <c r="BI1128" s="2482"/>
      <c r="BJ1128" s="2482"/>
      <c r="BK1128" s="2482"/>
      <c r="BL1128" s="2482"/>
      <c r="BM1128" s="2482"/>
      <c r="BN1128" s="2482"/>
      <c r="BO1128" s="2482"/>
      <c r="BP1128" s="2482"/>
      <c r="BQ1128" s="2482"/>
      <c r="BR1128" s="2482"/>
      <c r="BS1128" s="2482"/>
      <c r="BT1128" s="2482"/>
      <c r="BU1128" s="2482"/>
      <c r="BV1128" s="2482"/>
      <c r="BW1128" s="2482"/>
      <c r="BX1128" s="2482"/>
      <c r="BY1128" s="2482"/>
      <c r="BZ1128" s="2482"/>
      <c r="CA1128" s="2482"/>
      <c r="CB1128" s="2482"/>
      <c r="CC1128" s="2482"/>
      <c r="CD1128" s="2482"/>
      <c r="CE1128" s="2482"/>
      <c r="CF1128" s="2482"/>
      <c r="CG1128" s="2482"/>
      <c r="CH1128" s="2482"/>
      <c r="CI1128" s="2482"/>
      <c r="CJ1128" s="2482"/>
      <c r="CK1128" s="2482"/>
      <c r="CL1128" s="2482"/>
      <c r="CM1128" s="2482"/>
      <c r="CN1128" s="2482"/>
      <c r="CO1128" s="2482"/>
      <c r="CP1128" s="2482"/>
      <c r="CQ1128" s="2482"/>
      <c r="CR1128" s="2482"/>
      <c r="CS1128" s="2482"/>
      <c r="CT1128" s="2482"/>
      <c r="CU1128" s="2482"/>
      <c r="CV1128" s="2482"/>
      <c r="CW1128" s="2482"/>
      <c r="CX1128" s="2482"/>
      <c r="CY1128" s="2482"/>
      <c r="CZ1128" s="2482"/>
      <c r="DA1128" s="2482"/>
      <c r="DB1128" s="2482"/>
      <c r="DC1128" s="2482"/>
      <c r="DD1128" s="2482"/>
      <c r="DE1128" s="2482"/>
      <c r="DF1128" s="2482"/>
      <c r="DG1128" s="2482"/>
      <c r="DH1128" s="2482"/>
      <c r="DI1128" s="2482"/>
      <c r="DJ1128" s="2482"/>
      <c r="DK1128" s="2482"/>
      <c r="DL1128" s="2482"/>
      <c r="DM1128" s="2482"/>
      <c r="DN1128" s="2482"/>
      <c r="DO1128" s="2482"/>
      <c r="DP1128" s="2482"/>
      <c r="DQ1128" s="2482"/>
      <c r="DR1128" s="2482"/>
      <c r="DS1128" s="2482"/>
      <c r="DT1128" s="2482"/>
      <c r="DU1128" s="2482"/>
      <c r="DV1128" s="2482"/>
      <c r="DW1128" s="2482"/>
      <c r="DX1128" s="2482"/>
      <c r="DY1128" s="2482"/>
      <c r="DZ1128" s="2482"/>
      <c r="EA1128" s="2482"/>
      <c r="EB1128" s="2482"/>
      <c r="EC1128" s="2482"/>
      <c r="ED1128" s="2482"/>
      <c r="EE1128" s="2482"/>
      <c r="EF1128" s="2482"/>
      <c r="EG1128" s="2482"/>
      <c r="EH1128" s="2482"/>
      <c r="EI1128" s="2482"/>
      <c r="EJ1128" s="2482"/>
      <c r="EK1128" s="2482"/>
      <c r="EL1128" s="2482"/>
      <c r="EM1128" s="2482"/>
      <c r="EN1128" s="2482"/>
      <c r="EO1128" s="2482"/>
      <c r="EP1128" s="2482"/>
      <c r="EQ1128" s="2482"/>
      <c r="ER1128" s="2482"/>
      <c r="ES1128" s="2482"/>
      <c r="ET1128" s="2482"/>
      <c r="EU1128" s="2482"/>
      <c r="EV1128" s="2482"/>
      <c r="EW1128" s="2482"/>
      <c r="EX1128" s="2482"/>
      <c r="EY1128" s="2482"/>
      <c r="EZ1128" s="2482"/>
      <c r="FA1128" s="2482"/>
      <c r="FB1128" s="2482"/>
      <c r="FC1128" s="2482"/>
      <c r="FD1128" s="2482"/>
      <c r="FE1128" s="2482"/>
      <c r="FF1128" s="2482"/>
      <c r="FG1128" s="2482"/>
      <c r="FH1128" s="2482"/>
      <c r="FI1128" s="2482"/>
      <c r="FJ1128" s="2482"/>
      <c r="FK1128" s="2482"/>
      <c r="FL1128" s="2482"/>
      <c r="FM1128" s="2482"/>
      <c r="FN1128" s="2482"/>
      <c r="FO1128" s="2482"/>
      <c r="FP1128" s="2482"/>
      <c r="FQ1128" s="2482"/>
      <c r="FR1128" s="2482"/>
      <c r="FS1128" s="2482"/>
      <c r="FT1128" s="2482"/>
      <c r="FU1128" s="2482"/>
      <c r="FV1128" s="2482"/>
      <c r="FW1128" s="2482"/>
      <c r="FX1128" s="2482"/>
      <c r="FY1128" s="2482"/>
      <c r="FZ1128" s="2482"/>
      <c r="GA1128" s="2482"/>
      <c r="GB1128" s="2482"/>
      <c r="GC1128" s="2482"/>
      <c r="GD1128" s="2482"/>
      <c r="GE1128" s="2482"/>
      <c r="GF1128" s="2482"/>
      <c r="GG1128" s="2482"/>
      <c r="GH1128" s="2482"/>
      <c r="GI1128" s="2482"/>
      <c r="GJ1128" s="2482"/>
      <c r="GK1128" s="2482"/>
      <c r="GL1128" s="2482"/>
      <c r="GM1128" s="2482"/>
      <c r="GN1128" s="2482"/>
      <c r="GO1128" s="2482"/>
      <c r="GP1128" s="2482"/>
      <c r="GQ1128" s="2482"/>
      <c r="GR1128" s="2482"/>
      <c r="GS1128" s="2482"/>
      <c r="GT1128" s="2482"/>
      <c r="GU1128" s="2482"/>
      <c r="GV1128" s="2482"/>
      <c r="GW1128" s="2482"/>
      <c r="GX1128" s="2482"/>
      <c r="GY1128" s="2482"/>
      <c r="GZ1128" s="2482"/>
      <c r="HA1128" s="2482"/>
      <c r="HB1128" s="2482"/>
      <c r="HC1128" s="2482"/>
      <c r="HD1128" s="2482"/>
      <c r="HE1128" s="2482"/>
      <c r="HF1128" s="2482"/>
      <c r="HG1128" s="2482"/>
      <c r="HH1128" s="2482"/>
      <c r="HI1128" s="2482"/>
      <c r="HJ1128" s="2482"/>
      <c r="HK1128" s="2482"/>
      <c r="HL1128" s="2482"/>
      <c r="HM1128" s="2482"/>
      <c r="HN1128" s="2482"/>
      <c r="HO1128" s="2482"/>
      <c r="HP1128" s="2482"/>
      <c r="HQ1128" s="2482"/>
      <c r="HR1128" s="2482"/>
    </row>
    <row r="1129" spans="1:226" s="2523" customFormat="1" ht="22.5">
      <c r="A1129" s="3112" t="s">
        <v>1084</v>
      </c>
      <c r="B1129" s="3113" t="s">
        <v>1191</v>
      </c>
      <c r="C1129" s="3114">
        <v>710</v>
      </c>
      <c r="D1129" s="3134" t="s">
        <v>716</v>
      </c>
      <c r="E1129" s="2479" t="s">
        <v>1086</v>
      </c>
      <c r="F1129" s="2480">
        <f>SUM(F1130,F1138)</f>
        <v>1831388</v>
      </c>
      <c r="G1129" s="2480">
        <f>SUM(G1130,G1138)</f>
        <v>539647</v>
      </c>
      <c r="H1129" s="2480">
        <f>SUM(H1130,H1138)</f>
        <v>952109</v>
      </c>
      <c r="I1129" s="2480">
        <f>SUM(I1130,I1138)</f>
        <v>339632</v>
      </c>
      <c r="J1129" s="2481">
        <f>SUM(J1130,J1138)</f>
        <v>0</v>
      </c>
      <c r="K1129" s="2482"/>
    </row>
    <row r="1130" spans="1:226" s="2523" customFormat="1" ht="15" customHeight="1">
      <c r="A1130" s="3112"/>
      <c r="B1130" s="3113"/>
      <c r="C1130" s="3114"/>
      <c r="D1130" s="3134"/>
      <c r="E1130" s="2486" t="s">
        <v>739</v>
      </c>
      <c r="F1130" s="2487">
        <f>SUM(F1131,F1134)</f>
        <v>1509719</v>
      </c>
      <c r="G1130" s="2487">
        <f>SUM(G1131,G1134)</f>
        <v>491396</v>
      </c>
      <c r="H1130" s="2487">
        <f>SUM(H1131,H1134)</f>
        <v>678691</v>
      </c>
      <c r="I1130" s="2487">
        <f>SUM(I1131,I1134)</f>
        <v>339632</v>
      </c>
      <c r="J1130" s="2488">
        <f>SUM(J1131,J1134)</f>
        <v>0</v>
      </c>
      <c r="K1130" s="2482"/>
    </row>
    <row r="1131" spans="1:226" s="2523" customFormat="1" ht="15" hidden="1" customHeight="1">
      <c r="A1131" s="3112"/>
      <c r="B1131" s="3113"/>
      <c r="C1131" s="3114"/>
      <c r="D1131" s="3134"/>
      <c r="E1131" s="2497" t="s">
        <v>1093</v>
      </c>
      <c r="F1131" s="2498">
        <f>SUM(F1132:F1133)</f>
        <v>0</v>
      </c>
      <c r="G1131" s="2498">
        <f>SUM(G1132:G1133)</f>
        <v>0</v>
      </c>
      <c r="H1131" s="2498">
        <f>SUM(H1132:H1133)</f>
        <v>0</v>
      </c>
      <c r="I1131" s="2498">
        <f>SUM(I1132:I1133)</f>
        <v>0</v>
      </c>
      <c r="J1131" s="2499">
        <f>SUM(J1132:J1133)</f>
        <v>0</v>
      </c>
      <c r="K1131" s="2482"/>
    </row>
    <row r="1132" spans="1:226" s="2523" customFormat="1" ht="15" hidden="1" customHeight="1">
      <c r="A1132" s="3112"/>
      <c r="B1132" s="3113"/>
      <c r="C1132" s="3114"/>
      <c r="D1132" s="3134"/>
      <c r="E1132" s="2489"/>
      <c r="F1132" s="2490">
        <f>SUM(G1132:J1132)</f>
        <v>0</v>
      </c>
      <c r="G1132" s="2490"/>
      <c r="H1132" s="2490"/>
      <c r="I1132" s="2490"/>
      <c r="J1132" s="2491"/>
      <c r="K1132" s="2482"/>
    </row>
    <row r="1133" spans="1:226" s="2523" customFormat="1" ht="15" hidden="1" customHeight="1">
      <c r="A1133" s="3112"/>
      <c r="B1133" s="3113"/>
      <c r="C1133" s="3114"/>
      <c r="D1133" s="3134"/>
      <c r="E1133" s="2489"/>
      <c r="F1133" s="2490">
        <f>SUM(G1133:J1133)</f>
        <v>0</v>
      </c>
      <c r="G1133" s="2490"/>
      <c r="H1133" s="2490"/>
      <c r="I1133" s="2490"/>
      <c r="J1133" s="2491"/>
      <c r="K1133" s="2482"/>
    </row>
    <row r="1134" spans="1:226" s="2523" customFormat="1" ht="22.5">
      <c r="A1134" s="3112"/>
      <c r="B1134" s="3113"/>
      <c r="C1134" s="3114"/>
      <c r="D1134" s="3134"/>
      <c r="E1134" s="2497" t="s">
        <v>1094</v>
      </c>
      <c r="F1134" s="2498">
        <f>SUM(F1135:F1137)</f>
        <v>1509719</v>
      </c>
      <c r="G1134" s="2498">
        <f>SUM(G1135:G1137)</f>
        <v>491396</v>
      </c>
      <c r="H1134" s="2498">
        <f>SUM(H1135:H1137)</f>
        <v>678691</v>
      </c>
      <c r="I1134" s="2498">
        <f>SUM(I1135:I1137)</f>
        <v>339632</v>
      </c>
      <c r="J1134" s="2499">
        <f>SUM(J1135:J1137)</f>
        <v>0</v>
      </c>
      <c r="K1134" s="2482"/>
    </row>
    <row r="1135" spans="1:226" s="2523" customFormat="1" ht="15" hidden="1" customHeight="1">
      <c r="A1135" s="3112"/>
      <c r="B1135" s="3113"/>
      <c r="C1135" s="3114"/>
      <c r="D1135" s="3134"/>
      <c r="E1135" s="2489" t="s">
        <v>547</v>
      </c>
      <c r="F1135" s="2490">
        <f>SUM(G1135:J1135)</f>
        <v>0</v>
      </c>
      <c r="G1135" s="2490"/>
      <c r="H1135" s="2490"/>
      <c r="I1135" s="2490"/>
      <c r="J1135" s="2491"/>
      <c r="K1135" s="2482"/>
    </row>
    <row r="1136" spans="1:226" s="2523" customFormat="1" ht="15" customHeight="1">
      <c r="A1136" s="3112"/>
      <c r="B1136" s="3113"/>
      <c r="C1136" s="3114"/>
      <c r="D1136" s="3134"/>
      <c r="E1136" s="2489" t="s">
        <v>652</v>
      </c>
      <c r="F1136" s="2490">
        <f>SUM(G1136:J1136)</f>
        <v>678691</v>
      </c>
      <c r="G1136" s="2490"/>
      <c r="H1136" s="2490">
        <v>678691</v>
      </c>
      <c r="I1136" s="2490"/>
      <c r="J1136" s="2491"/>
      <c r="K1136" s="2482"/>
    </row>
    <row r="1137" spans="1:11" s="2523" customFormat="1" ht="15" customHeight="1">
      <c r="A1137" s="3112"/>
      <c r="B1137" s="3113"/>
      <c r="C1137" s="3114"/>
      <c r="D1137" s="3134"/>
      <c r="E1137" s="2489" t="s">
        <v>609</v>
      </c>
      <c r="F1137" s="2490">
        <f>SUM(G1137:J1137)</f>
        <v>831028</v>
      </c>
      <c r="G1137" s="2490">
        <v>491396</v>
      </c>
      <c r="H1137" s="2490"/>
      <c r="I1137" s="2490">
        <v>339632</v>
      </c>
      <c r="J1137" s="2491"/>
      <c r="K1137" s="2482"/>
    </row>
    <row r="1138" spans="1:11" s="2523" customFormat="1" ht="15" customHeight="1">
      <c r="A1138" s="3112"/>
      <c r="B1138" s="3113"/>
      <c r="C1138" s="3114">
        <v>720</v>
      </c>
      <c r="D1138" s="3134" t="s">
        <v>721</v>
      </c>
      <c r="E1138" s="2492" t="s">
        <v>1087</v>
      </c>
      <c r="F1138" s="2487">
        <f>SUM(F1139:F1141)</f>
        <v>321669</v>
      </c>
      <c r="G1138" s="2487">
        <f t="shared" ref="G1138:J1138" si="106">SUM(G1139:G1141)</f>
        <v>48251</v>
      </c>
      <c r="H1138" s="2487">
        <f t="shared" si="106"/>
        <v>273418</v>
      </c>
      <c r="I1138" s="2487">
        <f t="shared" si="106"/>
        <v>0</v>
      </c>
      <c r="J1138" s="2488">
        <f t="shared" si="106"/>
        <v>0</v>
      </c>
      <c r="K1138" s="2482"/>
    </row>
    <row r="1139" spans="1:11" s="2523" customFormat="1" ht="15" hidden="1" customHeight="1">
      <c r="A1139" s="3112"/>
      <c r="B1139" s="3113"/>
      <c r="C1139" s="3114"/>
      <c r="D1139" s="3134"/>
      <c r="E1139" s="2489" t="s">
        <v>582</v>
      </c>
      <c r="F1139" s="2490">
        <f>SUM(G1139:J1139)</f>
        <v>0</v>
      </c>
      <c r="G1139" s="2490"/>
      <c r="H1139" s="2490"/>
      <c r="I1139" s="2490"/>
      <c r="J1139" s="2491"/>
      <c r="K1139" s="2482"/>
    </row>
    <row r="1140" spans="1:11" s="2523" customFormat="1" ht="15" customHeight="1">
      <c r="A1140" s="3112"/>
      <c r="B1140" s="3113"/>
      <c r="C1140" s="3114"/>
      <c r="D1140" s="3134"/>
      <c r="E1140" s="2489" t="s">
        <v>676</v>
      </c>
      <c r="F1140" s="2490">
        <f>SUM(G1140:J1140)</f>
        <v>273418</v>
      </c>
      <c r="G1140" s="2490"/>
      <c r="H1140" s="2490">
        <v>273418</v>
      </c>
      <c r="I1140" s="2490"/>
      <c r="J1140" s="2491"/>
      <c r="K1140" s="2482"/>
    </row>
    <row r="1141" spans="1:11" s="2523" customFormat="1" ht="15" customHeight="1">
      <c r="A1141" s="3112"/>
      <c r="B1141" s="3113"/>
      <c r="C1141" s="3114"/>
      <c r="D1141" s="3134"/>
      <c r="E1141" s="2489" t="s">
        <v>677</v>
      </c>
      <c r="F1141" s="2490">
        <f>SUM(G1141:J1141)</f>
        <v>48251</v>
      </c>
      <c r="G1141" s="2490">
        <v>48251</v>
      </c>
      <c r="H1141" s="2490"/>
      <c r="I1141" s="2490"/>
      <c r="J1141" s="2491"/>
      <c r="K1141" s="2482"/>
    </row>
    <row r="1142" spans="1:11" s="2523" customFormat="1" ht="30" customHeight="1">
      <c r="A1142" s="2476" t="s">
        <v>1192</v>
      </c>
      <c r="B1142" s="3108" t="s">
        <v>1193</v>
      </c>
      <c r="C1142" s="3108"/>
      <c r="D1142" s="3108"/>
      <c r="E1142" s="3108"/>
      <c r="F1142" s="2525">
        <f>F1144+F1152+F1178+F1226</f>
        <v>56806563</v>
      </c>
      <c r="G1142" s="2525">
        <f>G1144+G1152+G1178+G1226</f>
        <v>3129972</v>
      </c>
      <c r="H1142" s="2525">
        <f>H1144+H1152+H1178+H1226</f>
        <v>0</v>
      </c>
      <c r="I1142" s="2525">
        <f>I1144+I1152+I1178+I1226</f>
        <v>53676591</v>
      </c>
      <c r="J1142" s="2527">
        <f>J1144+J1152+J1178+J1226</f>
        <v>0</v>
      </c>
      <c r="K1142" s="2482"/>
    </row>
    <row r="1143" spans="1:11" s="2485" customFormat="1" ht="15" customHeight="1">
      <c r="A1143" s="3109"/>
      <c r="B1143" s="3110"/>
      <c r="C1143" s="3110"/>
      <c r="D1143" s="3110"/>
      <c r="E1143" s="3110"/>
      <c r="F1143" s="3110"/>
      <c r="G1143" s="3110"/>
      <c r="H1143" s="3110"/>
      <c r="I1143" s="3110"/>
      <c r="J1143" s="3111"/>
      <c r="K1143" s="2482"/>
    </row>
    <row r="1144" spans="1:11" s="2485" customFormat="1" ht="22.5">
      <c r="A1144" s="3112" t="s">
        <v>1084</v>
      </c>
      <c r="B1144" s="3113" t="s">
        <v>1194</v>
      </c>
      <c r="C1144" s="3114"/>
      <c r="D1144" s="3114"/>
      <c r="E1144" s="2479" t="s">
        <v>1086</v>
      </c>
      <c r="F1144" s="2480">
        <f>SUM(F1145,F1149)</f>
        <v>3178000</v>
      </c>
      <c r="G1144" s="2480">
        <f>SUM(G1145,G1149)</f>
        <v>0</v>
      </c>
      <c r="H1144" s="2480">
        <f>SUM(H1145,H1149)</f>
        <v>0</v>
      </c>
      <c r="I1144" s="2480">
        <f>SUM(I1145,I1149)</f>
        <v>3178000</v>
      </c>
      <c r="J1144" s="2481">
        <f>SUM(J1145,J1149)</f>
        <v>0</v>
      </c>
      <c r="K1144" s="2482"/>
    </row>
    <row r="1145" spans="1:11" s="2485" customFormat="1" ht="15" customHeight="1">
      <c r="A1145" s="3112"/>
      <c r="B1145" s="3113"/>
      <c r="C1145" s="3114"/>
      <c r="D1145" s="3114"/>
      <c r="E1145" s="2486" t="s">
        <v>739</v>
      </c>
      <c r="F1145" s="2487">
        <f>SUM(F1146:F1148)</f>
        <v>3178000</v>
      </c>
      <c r="G1145" s="2487">
        <f>SUM(G1146:G1148)</f>
        <v>0</v>
      </c>
      <c r="H1145" s="2487">
        <f>SUM(H1146:H1148)</f>
        <v>0</v>
      </c>
      <c r="I1145" s="2487">
        <f>SUM(I1146:I1148)</f>
        <v>3178000</v>
      </c>
      <c r="J1145" s="2488">
        <f>SUM(J1146:J1148)</f>
        <v>0</v>
      </c>
      <c r="K1145" s="2482"/>
    </row>
    <row r="1146" spans="1:11" s="2485" customFormat="1" ht="15" customHeight="1">
      <c r="A1146" s="3112"/>
      <c r="B1146" s="3113"/>
      <c r="C1146" s="3114">
        <v>853</v>
      </c>
      <c r="D1146" s="3134" t="s">
        <v>916</v>
      </c>
      <c r="E1146" s="2489" t="s">
        <v>460</v>
      </c>
      <c r="F1146" s="2490">
        <f t="shared" ref="F1146:F1148" si="107">SUM(G1146:J1146)</f>
        <v>3178000</v>
      </c>
      <c r="G1146" s="2490"/>
      <c r="H1146" s="2490"/>
      <c r="I1146" s="2490">
        <v>3178000</v>
      </c>
      <c r="J1146" s="2491"/>
      <c r="K1146" s="2482"/>
    </row>
    <row r="1147" spans="1:11" s="2485" customFormat="1" ht="15" hidden="1" customHeight="1">
      <c r="A1147" s="3112"/>
      <c r="B1147" s="3113"/>
      <c r="C1147" s="3114"/>
      <c r="D1147" s="3134"/>
      <c r="E1147" s="2489" t="s">
        <v>432</v>
      </c>
      <c r="F1147" s="2490">
        <f>SUM(G1147:J1147)</f>
        <v>0</v>
      </c>
      <c r="G1147" s="2490"/>
      <c r="H1147" s="2490"/>
      <c r="I1147" s="2490"/>
      <c r="J1147" s="2491"/>
      <c r="K1147" s="2482"/>
    </row>
    <row r="1148" spans="1:11" s="2485" customFormat="1" ht="15" hidden="1" customHeight="1">
      <c r="A1148" s="3112"/>
      <c r="B1148" s="3113"/>
      <c r="C1148" s="3114"/>
      <c r="D1148" s="3134"/>
      <c r="E1148" s="2489"/>
      <c r="F1148" s="2490">
        <f t="shared" si="107"/>
        <v>0</v>
      </c>
      <c r="G1148" s="2490"/>
      <c r="H1148" s="2490"/>
      <c r="I1148" s="2490"/>
      <c r="J1148" s="2491"/>
      <c r="K1148" s="2482"/>
    </row>
    <row r="1149" spans="1:11" s="2485" customFormat="1" ht="15" customHeight="1">
      <c r="A1149" s="3112"/>
      <c r="B1149" s="3113"/>
      <c r="C1149" s="3114"/>
      <c r="D1149" s="3114"/>
      <c r="E1149" s="2492" t="s">
        <v>1087</v>
      </c>
      <c r="F1149" s="2487">
        <f>SUM(F1150:F1151)</f>
        <v>0</v>
      </c>
      <c r="G1149" s="2487">
        <f>SUM(G1150:G1151)</f>
        <v>0</v>
      </c>
      <c r="H1149" s="2487">
        <f>SUM(H1150:H1151)</f>
        <v>0</v>
      </c>
      <c r="I1149" s="2487">
        <f>SUM(I1150:I1151)</f>
        <v>0</v>
      </c>
      <c r="J1149" s="2488">
        <f>SUM(J1150:J1151)</f>
        <v>0</v>
      </c>
      <c r="K1149" s="2482"/>
    </row>
    <row r="1150" spans="1:11" s="2485" customFormat="1" ht="15" hidden="1" customHeight="1">
      <c r="A1150" s="3112"/>
      <c r="B1150" s="3113"/>
      <c r="C1150" s="2494"/>
      <c r="D1150" s="2489"/>
      <c r="E1150" s="2489"/>
      <c r="F1150" s="2490">
        <f t="shared" ref="F1150:F1151" si="108">SUM(G1150:J1150)</f>
        <v>0</v>
      </c>
      <c r="G1150" s="2490"/>
      <c r="H1150" s="2490"/>
      <c r="I1150" s="2490"/>
      <c r="J1150" s="2491"/>
      <c r="K1150" s="2482"/>
    </row>
    <row r="1151" spans="1:11" s="2485" customFormat="1" ht="15" hidden="1" customHeight="1">
      <c r="A1151" s="3112"/>
      <c r="B1151" s="3113"/>
      <c r="C1151" s="2494"/>
      <c r="D1151" s="2489"/>
      <c r="E1151" s="2489"/>
      <c r="F1151" s="2490">
        <f t="shared" si="108"/>
        <v>0</v>
      </c>
      <c r="G1151" s="2490"/>
      <c r="H1151" s="2490"/>
      <c r="I1151" s="2490"/>
      <c r="J1151" s="2491"/>
      <c r="K1151" s="2482"/>
    </row>
    <row r="1152" spans="1:11" s="2485" customFormat="1" ht="22.5" customHeight="1">
      <c r="A1152" s="3139" t="s">
        <v>1088</v>
      </c>
      <c r="B1152" s="3148" t="s">
        <v>1195</v>
      </c>
      <c r="C1152" s="3114"/>
      <c r="D1152" s="3114"/>
      <c r="E1152" s="2479" t="s">
        <v>1086</v>
      </c>
      <c r="F1152" s="2480">
        <f>SUM(F1153,F1170)</f>
        <v>32987801</v>
      </c>
      <c r="G1152" s="2480">
        <f>SUM(G1153,G1170)</f>
        <v>0</v>
      </c>
      <c r="H1152" s="2480">
        <f>SUM(H1153,H1170)</f>
        <v>0</v>
      </c>
      <c r="I1152" s="2480">
        <f>SUM(I1153,I1170)</f>
        <v>32987801</v>
      </c>
      <c r="J1152" s="2481">
        <f>SUM(J1153,J1170)</f>
        <v>0</v>
      </c>
      <c r="K1152" s="2495"/>
    </row>
    <row r="1153" spans="1:11" s="2485" customFormat="1" ht="15" customHeight="1">
      <c r="A1153" s="3140"/>
      <c r="B1153" s="3149"/>
      <c r="C1153" s="3114"/>
      <c r="D1153" s="3114"/>
      <c r="E1153" s="2486" t="s">
        <v>739</v>
      </c>
      <c r="F1153" s="2487">
        <f>SUM(F1154:F1169)</f>
        <v>32135801</v>
      </c>
      <c r="G1153" s="2487">
        <f t="shared" ref="G1153:I1153" si="109">SUM(G1154:G1169)</f>
        <v>0</v>
      </c>
      <c r="H1153" s="2487">
        <f t="shared" si="109"/>
        <v>0</v>
      </c>
      <c r="I1153" s="2487">
        <f t="shared" si="109"/>
        <v>32135801</v>
      </c>
      <c r="J1153" s="2488">
        <f>SUM(J1154:J1169)</f>
        <v>0</v>
      </c>
      <c r="K1153" s="2482"/>
    </row>
    <row r="1154" spans="1:11" s="2485" customFormat="1" ht="15" customHeight="1">
      <c r="A1154" s="3140"/>
      <c r="B1154" s="3149"/>
      <c r="C1154" s="3115">
        <v>150</v>
      </c>
      <c r="D1154" s="3117" t="s">
        <v>268</v>
      </c>
      <c r="E1154" s="2489" t="s">
        <v>460</v>
      </c>
      <c r="F1154" s="2490">
        <f t="shared" ref="F1154:F1169" si="110">SUM(G1154:J1154)</f>
        <v>5350021</v>
      </c>
      <c r="G1154" s="2490"/>
      <c r="H1154" s="2490"/>
      <c r="I1154" s="2490">
        <v>5350021</v>
      </c>
      <c r="J1154" s="2491"/>
      <c r="K1154" s="2482"/>
    </row>
    <row r="1155" spans="1:11" s="2485" customFormat="1" ht="15" hidden="1" customHeight="1">
      <c r="A1155" s="3140"/>
      <c r="B1155" s="3149"/>
      <c r="C1155" s="3145"/>
      <c r="D1155" s="3146"/>
      <c r="E1155" s="2489" t="s">
        <v>328</v>
      </c>
      <c r="F1155" s="2490">
        <f t="shared" si="110"/>
        <v>0</v>
      </c>
      <c r="G1155" s="2490"/>
      <c r="H1155" s="2490"/>
      <c r="I1155" s="2490">
        <v>0</v>
      </c>
      <c r="J1155" s="2491"/>
      <c r="K1155" s="2482"/>
    </row>
    <row r="1156" spans="1:11" s="2485" customFormat="1" ht="15" hidden="1" customHeight="1">
      <c r="A1156" s="3140"/>
      <c r="B1156" s="3149"/>
      <c r="C1156" s="3145"/>
      <c r="D1156" s="3146"/>
      <c r="E1156" s="2489" t="s">
        <v>432</v>
      </c>
      <c r="F1156" s="2490">
        <f t="shared" si="110"/>
        <v>0</v>
      </c>
      <c r="G1156" s="2490"/>
      <c r="H1156" s="2490"/>
      <c r="I1156" s="2490"/>
      <c r="J1156" s="2491"/>
      <c r="K1156" s="2482"/>
    </row>
    <row r="1157" spans="1:11" s="2485" customFormat="1" ht="15" hidden="1" customHeight="1">
      <c r="A1157" s="3140"/>
      <c r="B1157" s="3149"/>
      <c r="C1157" s="3116"/>
      <c r="D1157" s="3118"/>
      <c r="E1157" s="2489" t="s">
        <v>431</v>
      </c>
      <c r="F1157" s="2490">
        <f t="shared" si="110"/>
        <v>0</v>
      </c>
      <c r="G1157" s="2490"/>
      <c r="H1157" s="2490"/>
      <c r="I1157" s="2490"/>
      <c r="J1157" s="2491"/>
      <c r="K1157" s="2482"/>
    </row>
    <row r="1158" spans="1:11" s="2485" customFormat="1" ht="15" customHeight="1">
      <c r="A1158" s="3140"/>
      <c r="B1158" s="3149"/>
      <c r="C1158" s="3115">
        <v>801</v>
      </c>
      <c r="D1158" s="3117" t="s">
        <v>850</v>
      </c>
      <c r="E1158" s="2489" t="s">
        <v>460</v>
      </c>
      <c r="F1158" s="2490">
        <f t="shared" si="110"/>
        <v>4670132</v>
      </c>
      <c r="G1158" s="2490"/>
      <c r="H1158" s="2490"/>
      <c r="I1158" s="2490">
        <v>4670132</v>
      </c>
      <c r="J1158" s="2491"/>
      <c r="K1158" s="2482"/>
    </row>
    <row r="1159" spans="1:11" s="2485" customFormat="1" ht="15" customHeight="1">
      <c r="A1159" s="3140"/>
      <c r="B1159" s="3149"/>
      <c r="C1159" s="3145"/>
      <c r="D1159" s="3146"/>
      <c r="E1159" s="2489" t="s">
        <v>328</v>
      </c>
      <c r="F1159" s="2490">
        <f t="shared" si="110"/>
        <v>4357069</v>
      </c>
      <c r="G1159" s="2490"/>
      <c r="H1159" s="2490"/>
      <c r="I1159" s="2490">
        <v>4357069</v>
      </c>
      <c r="J1159" s="2491"/>
      <c r="K1159" s="2482"/>
    </row>
    <row r="1160" spans="1:11" s="2485" customFormat="1" ht="15" hidden="1" customHeight="1">
      <c r="A1160" s="3140"/>
      <c r="B1160" s="3149"/>
      <c r="C1160" s="3145"/>
      <c r="D1160" s="3146"/>
      <c r="E1160" s="2489" t="s">
        <v>431</v>
      </c>
      <c r="F1160" s="2490">
        <f t="shared" si="110"/>
        <v>0</v>
      </c>
      <c r="G1160" s="2490"/>
      <c r="H1160" s="2490"/>
      <c r="I1160" s="2490"/>
      <c r="J1160" s="2491"/>
      <c r="K1160" s="2482"/>
    </row>
    <row r="1161" spans="1:11" s="2485" customFormat="1" ht="15" hidden="1" customHeight="1">
      <c r="A1161" s="3140"/>
      <c r="B1161" s="3149"/>
      <c r="C1161" s="3116"/>
      <c r="D1161" s="3118"/>
      <c r="E1161" s="2489" t="s">
        <v>432</v>
      </c>
      <c r="F1161" s="2490">
        <f t="shared" si="110"/>
        <v>0</v>
      </c>
      <c r="G1161" s="2490"/>
      <c r="H1161" s="2490"/>
      <c r="I1161" s="2490"/>
      <c r="J1161" s="2491"/>
      <c r="K1161" s="2482"/>
    </row>
    <row r="1162" spans="1:11" s="2485" customFormat="1" ht="15" customHeight="1">
      <c r="A1162" s="3140"/>
      <c r="B1162" s="3149"/>
      <c r="C1162" s="3115">
        <v>852</v>
      </c>
      <c r="D1162" s="3117" t="s">
        <v>896</v>
      </c>
      <c r="E1162" s="2489" t="s">
        <v>460</v>
      </c>
      <c r="F1162" s="2490">
        <f t="shared" si="110"/>
        <v>7835913</v>
      </c>
      <c r="G1162" s="2490"/>
      <c r="H1162" s="2490"/>
      <c r="I1162" s="2490">
        <v>7835913</v>
      </c>
      <c r="J1162" s="2491"/>
      <c r="K1162" s="2482"/>
    </row>
    <row r="1163" spans="1:11" s="2485" customFormat="1" ht="15" customHeight="1">
      <c r="A1163" s="3140"/>
      <c r="B1163" s="3149"/>
      <c r="C1163" s="3145"/>
      <c r="D1163" s="3146"/>
      <c r="E1163" s="2489" t="s">
        <v>328</v>
      </c>
      <c r="F1163" s="2490">
        <f t="shared" si="110"/>
        <v>2331687</v>
      </c>
      <c r="G1163" s="2490"/>
      <c r="H1163" s="2490"/>
      <c r="I1163" s="2490">
        <v>2331687</v>
      </c>
      <c r="J1163" s="2491"/>
      <c r="K1163" s="2482"/>
    </row>
    <row r="1164" spans="1:11" s="2485" customFormat="1" ht="15" hidden="1" customHeight="1">
      <c r="A1164" s="3140"/>
      <c r="B1164" s="3149"/>
      <c r="C1164" s="3145"/>
      <c r="D1164" s="3146"/>
      <c r="E1164" s="2489" t="s">
        <v>432</v>
      </c>
      <c r="F1164" s="2490">
        <f t="shared" si="110"/>
        <v>0</v>
      </c>
      <c r="G1164" s="2490"/>
      <c r="H1164" s="2490"/>
      <c r="I1164" s="2490"/>
      <c r="J1164" s="2491"/>
      <c r="K1164" s="2482"/>
    </row>
    <row r="1165" spans="1:11" s="2485" customFormat="1" ht="15" hidden="1" customHeight="1">
      <c r="A1165" s="3140"/>
      <c r="B1165" s="3149"/>
      <c r="C1165" s="3116"/>
      <c r="D1165" s="3118"/>
      <c r="E1165" s="2489" t="s">
        <v>431</v>
      </c>
      <c r="F1165" s="2490">
        <f t="shared" si="110"/>
        <v>0</v>
      </c>
      <c r="G1165" s="2490"/>
      <c r="H1165" s="2490"/>
      <c r="I1165" s="2490"/>
      <c r="J1165" s="2491"/>
      <c r="K1165" s="2482"/>
    </row>
    <row r="1166" spans="1:11" s="2485" customFormat="1" ht="15" customHeight="1">
      <c r="A1166" s="3140"/>
      <c r="B1166" s="3149"/>
      <c r="C1166" s="3115">
        <v>853</v>
      </c>
      <c r="D1166" s="3117" t="s">
        <v>916</v>
      </c>
      <c r="E1166" s="2489" t="s">
        <v>460</v>
      </c>
      <c r="F1166" s="2490">
        <f t="shared" si="110"/>
        <v>5526854</v>
      </c>
      <c r="G1166" s="2490"/>
      <c r="H1166" s="2490"/>
      <c r="I1166" s="2490">
        <v>5526854</v>
      </c>
      <c r="J1166" s="2491"/>
      <c r="K1166" s="2482"/>
    </row>
    <row r="1167" spans="1:11" s="2485" customFormat="1" ht="15" customHeight="1">
      <c r="A1167" s="3140"/>
      <c r="B1167" s="3149"/>
      <c r="C1167" s="3145"/>
      <c r="D1167" s="3146"/>
      <c r="E1167" s="2489" t="s">
        <v>328</v>
      </c>
      <c r="F1167" s="2490">
        <f t="shared" si="110"/>
        <v>2064125</v>
      </c>
      <c r="G1167" s="2490"/>
      <c r="H1167" s="2490"/>
      <c r="I1167" s="2490">
        <v>2064125</v>
      </c>
      <c r="J1167" s="2491"/>
      <c r="K1167" s="2482"/>
    </row>
    <row r="1168" spans="1:11" s="2485" customFormat="1" ht="15" hidden="1" customHeight="1">
      <c r="A1168" s="3140"/>
      <c r="B1168" s="3149"/>
      <c r="C1168" s="3145"/>
      <c r="D1168" s="3146"/>
      <c r="E1168" s="2489" t="s">
        <v>431</v>
      </c>
      <c r="F1168" s="2490">
        <f t="shared" si="110"/>
        <v>0</v>
      </c>
      <c r="G1168" s="2490"/>
      <c r="H1168" s="2490"/>
      <c r="I1168" s="2490"/>
      <c r="J1168" s="2491"/>
      <c r="K1168" s="2482"/>
    </row>
    <row r="1169" spans="1:226" s="2485" customFormat="1" ht="15" hidden="1" customHeight="1">
      <c r="A1169" s="3140"/>
      <c r="B1169" s="3149"/>
      <c r="C1169" s="3116"/>
      <c r="D1169" s="3118"/>
      <c r="E1169" s="2489" t="s">
        <v>432</v>
      </c>
      <c r="F1169" s="2490">
        <f t="shared" si="110"/>
        <v>0</v>
      </c>
      <c r="G1169" s="2490"/>
      <c r="H1169" s="2490"/>
      <c r="I1169" s="2490"/>
      <c r="J1169" s="2491"/>
      <c r="K1169" s="2482"/>
    </row>
    <row r="1170" spans="1:226" s="2485" customFormat="1" ht="15" customHeight="1">
      <c r="A1170" s="3140"/>
      <c r="B1170" s="3149"/>
      <c r="C1170" s="3114"/>
      <c r="D1170" s="3114"/>
      <c r="E1170" s="2492" t="s">
        <v>1087</v>
      </c>
      <c r="F1170" s="2487">
        <f>SUM(F1171:F1177)</f>
        <v>852000</v>
      </c>
      <c r="G1170" s="2487">
        <f>SUM(G1171:G1177)</f>
        <v>0</v>
      </c>
      <c r="H1170" s="2487">
        <f>SUM(H1171:H1177)</f>
        <v>0</v>
      </c>
      <c r="I1170" s="2487">
        <f>SUM(I1171:I1177)</f>
        <v>852000</v>
      </c>
      <c r="J1170" s="2488">
        <f>SUM(J1171:J1177)</f>
        <v>0</v>
      </c>
      <c r="K1170" s="2482"/>
    </row>
    <row r="1171" spans="1:226" s="2485" customFormat="1" ht="15" customHeight="1">
      <c r="A1171" s="3140"/>
      <c r="B1171" s="3149"/>
      <c r="C1171" s="3115">
        <v>801</v>
      </c>
      <c r="D1171" s="3117" t="s">
        <v>850</v>
      </c>
      <c r="E1171" s="2489" t="s">
        <v>658</v>
      </c>
      <c r="F1171" s="2490">
        <f t="shared" ref="F1171:F1177" si="111">SUM(G1171:J1171)</f>
        <v>67000</v>
      </c>
      <c r="G1171" s="2490"/>
      <c r="H1171" s="2490"/>
      <c r="I1171" s="2490">
        <v>67000</v>
      </c>
      <c r="J1171" s="2491"/>
      <c r="K1171" s="2482"/>
    </row>
    <row r="1172" spans="1:226" s="2485" customFormat="1" ht="15" customHeight="1">
      <c r="A1172" s="3140"/>
      <c r="B1172" s="3149"/>
      <c r="C1172" s="3145"/>
      <c r="D1172" s="3146"/>
      <c r="E1172" s="2489" t="s">
        <v>659</v>
      </c>
      <c r="F1172" s="2490">
        <f t="shared" si="111"/>
        <v>105000</v>
      </c>
      <c r="G1172" s="2490"/>
      <c r="H1172" s="2490"/>
      <c r="I1172" s="2490">
        <v>105000</v>
      </c>
      <c r="J1172" s="2491"/>
      <c r="K1172" s="2482"/>
    </row>
    <row r="1173" spans="1:226" s="2485" customFormat="1" ht="15" hidden="1" customHeight="1">
      <c r="A1173" s="3140"/>
      <c r="B1173" s="3149"/>
      <c r="C1173" s="3116"/>
      <c r="D1173" s="3118"/>
      <c r="E1173" s="2489" t="s">
        <v>433</v>
      </c>
      <c r="F1173" s="2490">
        <f t="shared" si="111"/>
        <v>0</v>
      </c>
      <c r="G1173" s="2490"/>
      <c r="H1173" s="2490"/>
      <c r="I1173" s="2490"/>
      <c r="J1173" s="2491"/>
      <c r="K1173" s="2482"/>
    </row>
    <row r="1174" spans="1:226" s="2485" customFormat="1" ht="15" customHeight="1">
      <c r="A1174" s="3140"/>
      <c r="B1174" s="3149"/>
      <c r="C1174" s="3115">
        <v>852</v>
      </c>
      <c r="D1174" s="3117" t="s">
        <v>896</v>
      </c>
      <c r="E1174" s="2489" t="s">
        <v>658</v>
      </c>
      <c r="F1174" s="2490">
        <f t="shared" si="111"/>
        <v>544262</v>
      </c>
      <c r="G1174" s="2490"/>
      <c r="H1174" s="2490"/>
      <c r="I1174" s="2490">
        <v>544262</v>
      </c>
      <c r="J1174" s="2491"/>
      <c r="K1174" s="2482"/>
    </row>
    <row r="1175" spans="1:226" s="2485" customFormat="1" ht="15" customHeight="1">
      <c r="A1175" s="3141"/>
      <c r="B1175" s="3150"/>
      <c r="C1175" s="3145"/>
      <c r="D1175" s="3146"/>
      <c r="E1175" s="2489" t="s">
        <v>659</v>
      </c>
      <c r="F1175" s="2490">
        <f t="shared" si="111"/>
        <v>135738</v>
      </c>
      <c r="G1175" s="2490"/>
      <c r="H1175" s="2490"/>
      <c r="I1175" s="2490">
        <v>135738</v>
      </c>
      <c r="J1175" s="2491"/>
      <c r="K1175" s="2482"/>
    </row>
    <row r="1176" spans="1:226" s="2485" customFormat="1" ht="15" hidden="1" customHeight="1">
      <c r="A1176" s="2528"/>
      <c r="B1176" s="2529"/>
      <c r="C1176" s="3115">
        <v>853</v>
      </c>
      <c r="D1176" s="3117" t="s">
        <v>916</v>
      </c>
      <c r="E1176" s="2489" t="s">
        <v>658</v>
      </c>
      <c r="F1176" s="2490">
        <f t="shared" si="111"/>
        <v>0</v>
      </c>
      <c r="G1176" s="2490"/>
      <c r="H1176" s="2490"/>
      <c r="I1176" s="2490"/>
      <c r="J1176" s="2491"/>
      <c r="K1176" s="2482"/>
    </row>
    <row r="1177" spans="1:226" s="2485" customFormat="1" ht="15" hidden="1" customHeight="1">
      <c r="A1177" s="2530"/>
      <c r="B1177" s="2531"/>
      <c r="C1177" s="3116"/>
      <c r="D1177" s="3118"/>
      <c r="E1177" s="2489" t="s">
        <v>659</v>
      </c>
      <c r="F1177" s="2490">
        <f t="shared" si="111"/>
        <v>0</v>
      </c>
      <c r="G1177" s="2490"/>
      <c r="H1177" s="2490"/>
      <c r="I1177" s="2490"/>
      <c r="J1177" s="2491"/>
      <c r="K1177" s="2482"/>
    </row>
    <row r="1178" spans="1:226" s="2485" customFormat="1" ht="22.5" customHeight="1">
      <c r="A1178" s="3139" t="s">
        <v>1090</v>
      </c>
      <c r="B1178" s="3148" t="s">
        <v>1196</v>
      </c>
      <c r="C1178" s="3115">
        <v>853</v>
      </c>
      <c r="D1178" s="3117" t="s">
        <v>914</v>
      </c>
      <c r="E1178" s="2479" t="s">
        <v>1086</v>
      </c>
      <c r="F1178" s="2480">
        <f>SUM(F1179,F1223)</f>
        <v>4702595</v>
      </c>
      <c r="G1178" s="2480">
        <f>SUM(G1179,G1223)</f>
        <v>739248</v>
      </c>
      <c r="H1178" s="2480">
        <f>SUM(H1179,H1223)</f>
        <v>0</v>
      </c>
      <c r="I1178" s="2480">
        <f>SUM(I1179,I1223)</f>
        <v>3963347</v>
      </c>
      <c r="J1178" s="2481">
        <f>SUM(J1179,J1223)</f>
        <v>0</v>
      </c>
      <c r="K1178" s="2482"/>
    </row>
    <row r="1179" spans="1:226" s="2485" customFormat="1" ht="21">
      <c r="A1179" s="3140"/>
      <c r="B1179" s="3149"/>
      <c r="C1179" s="3145"/>
      <c r="D1179" s="3146"/>
      <c r="E1179" s="2486" t="s">
        <v>1092</v>
      </c>
      <c r="F1179" s="2487">
        <f>SUM(F1180,F1183,F1194)</f>
        <v>4702595</v>
      </c>
      <c r="G1179" s="2487">
        <f>SUM(G1180,G1183,G1194)</f>
        <v>739248</v>
      </c>
      <c r="H1179" s="2487">
        <f>SUM(H1180,H1183,H1194)</f>
        <v>0</v>
      </c>
      <c r="I1179" s="2487">
        <f>SUM(I1180,I1183,I1194)</f>
        <v>3963347</v>
      </c>
      <c r="J1179" s="2488">
        <f>SUM(J1180,J1183,J1194)</f>
        <v>0</v>
      </c>
      <c r="K1179" s="2482"/>
      <c r="L1179" s="2484"/>
      <c r="M1179" s="2484"/>
      <c r="N1179" s="2484"/>
      <c r="O1179" s="2484"/>
      <c r="P1179" s="2484"/>
      <c r="Q1179" s="2484"/>
      <c r="R1179" s="2484"/>
      <c r="S1179" s="2484"/>
      <c r="T1179" s="2484"/>
      <c r="U1179" s="2484"/>
      <c r="V1179" s="2484"/>
      <c r="W1179" s="2484"/>
      <c r="X1179" s="2484"/>
      <c r="Y1179" s="2484"/>
      <c r="Z1179" s="2484"/>
      <c r="AA1179" s="2484"/>
      <c r="AB1179" s="2484"/>
      <c r="AC1179" s="2484"/>
      <c r="AD1179" s="2484"/>
      <c r="AE1179" s="2484"/>
      <c r="AF1179" s="2484"/>
      <c r="AG1179" s="2484"/>
      <c r="AH1179" s="2484"/>
      <c r="AI1179" s="2484"/>
      <c r="AJ1179" s="2484"/>
      <c r="AK1179" s="2484"/>
      <c r="AL1179" s="2484"/>
      <c r="AM1179" s="2484"/>
      <c r="AN1179" s="2484"/>
      <c r="AO1179" s="2484"/>
      <c r="AP1179" s="2484"/>
      <c r="AQ1179" s="2484"/>
      <c r="AR1179" s="2484"/>
      <c r="AS1179" s="2484"/>
      <c r="AT1179" s="2484"/>
      <c r="AU1179" s="2484"/>
      <c r="AV1179" s="2484"/>
      <c r="AW1179" s="2484"/>
      <c r="AX1179" s="2484"/>
      <c r="AY1179" s="2484"/>
      <c r="AZ1179" s="2484"/>
      <c r="BA1179" s="2484"/>
      <c r="BB1179" s="2484"/>
      <c r="BC1179" s="2484"/>
      <c r="BD1179" s="2484"/>
      <c r="BE1179" s="2484"/>
      <c r="BF1179" s="2484"/>
      <c r="BG1179" s="2484"/>
      <c r="BH1179" s="2484"/>
      <c r="BI1179" s="2484"/>
      <c r="BJ1179" s="2484"/>
      <c r="BK1179" s="2484"/>
      <c r="BL1179" s="2484"/>
      <c r="BM1179" s="2484"/>
      <c r="BN1179" s="2484"/>
      <c r="BO1179" s="2484"/>
      <c r="BP1179" s="2484"/>
      <c r="BQ1179" s="2484"/>
      <c r="BR1179" s="2484"/>
      <c r="BS1179" s="2484"/>
      <c r="BT1179" s="2484"/>
      <c r="BU1179" s="2484"/>
      <c r="BV1179" s="2484"/>
      <c r="BW1179" s="2484"/>
      <c r="BX1179" s="2484"/>
      <c r="BY1179" s="2484"/>
      <c r="BZ1179" s="2484"/>
      <c r="CA1179" s="2484"/>
      <c r="CB1179" s="2484"/>
      <c r="CC1179" s="2484"/>
      <c r="CD1179" s="2484"/>
      <c r="CE1179" s="2484"/>
      <c r="CF1179" s="2484"/>
      <c r="CG1179" s="2484"/>
      <c r="CH1179" s="2484"/>
      <c r="CI1179" s="2484"/>
      <c r="CJ1179" s="2484"/>
      <c r="CK1179" s="2484"/>
      <c r="CL1179" s="2484"/>
      <c r="CM1179" s="2484"/>
      <c r="CN1179" s="2484"/>
      <c r="CO1179" s="2484"/>
      <c r="CP1179" s="2484"/>
      <c r="CQ1179" s="2484"/>
      <c r="CR1179" s="2484"/>
      <c r="CS1179" s="2484"/>
      <c r="CT1179" s="2484"/>
      <c r="CU1179" s="2484"/>
      <c r="CV1179" s="2484"/>
      <c r="CW1179" s="2484"/>
      <c r="CX1179" s="2484"/>
      <c r="CY1179" s="2484"/>
      <c r="CZ1179" s="2484"/>
      <c r="DA1179" s="2484"/>
      <c r="DB1179" s="2484"/>
      <c r="DC1179" s="2484"/>
      <c r="DD1179" s="2484"/>
      <c r="DE1179" s="2484"/>
      <c r="DF1179" s="2484"/>
      <c r="DG1179" s="2484"/>
      <c r="DH1179" s="2484"/>
      <c r="DI1179" s="2484"/>
      <c r="DJ1179" s="2484"/>
      <c r="DK1179" s="2484"/>
      <c r="DL1179" s="2484"/>
      <c r="DM1179" s="2484"/>
      <c r="DN1179" s="2484"/>
      <c r="DO1179" s="2484"/>
      <c r="DP1179" s="2484"/>
      <c r="DQ1179" s="2484"/>
      <c r="DR1179" s="2484"/>
      <c r="DS1179" s="2484"/>
      <c r="DT1179" s="2484"/>
      <c r="DU1179" s="2484"/>
      <c r="DV1179" s="2484"/>
      <c r="DW1179" s="2484"/>
      <c r="DX1179" s="2484"/>
      <c r="DY1179" s="2484"/>
      <c r="DZ1179" s="2484"/>
      <c r="EA1179" s="2484"/>
      <c r="EB1179" s="2484"/>
      <c r="EC1179" s="2484"/>
      <c r="ED1179" s="2484"/>
      <c r="EE1179" s="2484"/>
      <c r="EF1179" s="2484"/>
      <c r="EG1179" s="2484"/>
      <c r="EH1179" s="2484"/>
      <c r="EI1179" s="2484"/>
      <c r="EJ1179" s="2484"/>
      <c r="EK1179" s="2484"/>
      <c r="EL1179" s="2484"/>
      <c r="EM1179" s="2484"/>
      <c r="EN1179" s="2484"/>
      <c r="EO1179" s="2484"/>
      <c r="EP1179" s="2484"/>
      <c r="EQ1179" s="2484"/>
      <c r="ER1179" s="2484"/>
      <c r="ES1179" s="2484"/>
      <c r="ET1179" s="2484"/>
      <c r="EU1179" s="2484"/>
      <c r="EV1179" s="2484"/>
      <c r="EW1179" s="2484"/>
      <c r="EX1179" s="2484"/>
      <c r="EY1179" s="2484"/>
      <c r="EZ1179" s="2484"/>
      <c r="FA1179" s="2484"/>
      <c r="FB1179" s="2484"/>
      <c r="FC1179" s="2484"/>
      <c r="FD1179" s="2484"/>
      <c r="FE1179" s="2484"/>
      <c r="FF1179" s="2484"/>
      <c r="FG1179" s="2484"/>
      <c r="FH1179" s="2484"/>
      <c r="FI1179" s="2484"/>
      <c r="FJ1179" s="2484"/>
      <c r="FK1179" s="2484"/>
      <c r="FL1179" s="2484"/>
      <c r="FM1179" s="2484"/>
      <c r="FN1179" s="2484"/>
      <c r="FO1179" s="2484"/>
      <c r="FP1179" s="2484"/>
      <c r="FQ1179" s="2484"/>
      <c r="FR1179" s="2484"/>
      <c r="FS1179" s="2484"/>
      <c r="FT1179" s="2484"/>
      <c r="FU1179" s="2484"/>
      <c r="FV1179" s="2484"/>
      <c r="FW1179" s="2484"/>
      <c r="FX1179" s="2484"/>
      <c r="FY1179" s="2484"/>
      <c r="FZ1179" s="2484"/>
      <c r="GA1179" s="2484"/>
      <c r="GB1179" s="2484"/>
      <c r="GC1179" s="2484"/>
      <c r="GD1179" s="2484"/>
      <c r="GE1179" s="2484"/>
      <c r="GF1179" s="2484"/>
      <c r="GG1179" s="2484"/>
      <c r="GH1179" s="2484"/>
      <c r="GI1179" s="2484"/>
      <c r="GJ1179" s="2484"/>
      <c r="GK1179" s="2484"/>
      <c r="GL1179" s="2484"/>
      <c r="GM1179" s="2484"/>
      <c r="GN1179" s="2484"/>
      <c r="GO1179" s="2484"/>
      <c r="GP1179" s="2484"/>
      <c r="GQ1179" s="2484"/>
      <c r="GR1179" s="2484"/>
      <c r="GS1179" s="2484"/>
      <c r="GT1179" s="2484"/>
      <c r="GU1179" s="2484"/>
      <c r="GV1179" s="2484"/>
      <c r="GW1179" s="2484"/>
      <c r="GX1179" s="2484"/>
      <c r="GY1179" s="2484"/>
      <c r="GZ1179" s="2484"/>
      <c r="HA1179" s="2484"/>
      <c r="HB1179" s="2484"/>
      <c r="HC1179" s="2484"/>
      <c r="HD1179" s="2484"/>
      <c r="HE1179" s="2484"/>
      <c r="HF1179" s="2484"/>
      <c r="HG1179" s="2484"/>
      <c r="HH1179" s="2484"/>
      <c r="HI1179" s="2484"/>
      <c r="HJ1179" s="2484"/>
      <c r="HK1179" s="2484"/>
      <c r="HL1179" s="2484"/>
      <c r="HM1179" s="2484"/>
      <c r="HN1179" s="2484"/>
      <c r="HO1179" s="2484"/>
      <c r="HP1179" s="2484"/>
      <c r="HQ1179" s="2484"/>
      <c r="HR1179" s="2484"/>
    </row>
    <row r="1180" spans="1:226" s="2485" customFormat="1" ht="15" hidden="1" customHeight="1">
      <c r="A1180" s="3140"/>
      <c r="B1180" s="3149"/>
      <c r="C1180" s="3145"/>
      <c r="D1180" s="3146"/>
      <c r="E1180" s="2497" t="s">
        <v>1109</v>
      </c>
      <c r="F1180" s="2498">
        <f>SUM(F1181:F1182)</f>
        <v>0</v>
      </c>
      <c r="G1180" s="2498">
        <f>SUM(G1181:G1182)</f>
        <v>0</v>
      </c>
      <c r="H1180" s="2498">
        <f>SUM(H1181:H1182)</f>
        <v>0</v>
      </c>
      <c r="I1180" s="2498">
        <f>SUM(I1181:I1182)</f>
        <v>0</v>
      </c>
      <c r="J1180" s="2499">
        <f>SUM(J1181:J1182)</f>
        <v>0</v>
      </c>
      <c r="K1180" s="2482"/>
    </row>
    <row r="1181" spans="1:226" s="2485" customFormat="1" ht="15" hidden="1" customHeight="1">
      <c r="A1181" s="3140"/>
      <c r="B1181" s="3149"/>
      <c r="C1181" s="3145"/>
      <c r="D1181" s="3146"/>
      <c r="E1181" s="2489"/>
      <c r="F1181" s="2490">
        <f>SUM(G1181:J1181)</f>
        <v>0</v>
      </c>
      <c r="G1181" s="2490"/>
      <c r="H1181" s="2490"/>
      <c r="I1181" s="2490"/>
      <c r="J1181" s="2491"/>
      <c r="K1181" s="2482"/>
    </row>
    <row r="1182" spans="1:226" s="2485" customFormat="1" ht="12" hidden="1" customHeight="1">
      <c r="A1182" s="3140"/>
      <c r="B1182" s="3149"/>
      <c r="C1182" s="3145"/>
      <c r="D1182" s="3146"/>
      <c r="E1182" s="2489"/>
      <c r="F1182" s="2490">
        <f>SUM(G1182:J1182)</f>
        <v>0</v>
      </c>
      <c r="G1182" s="2490"/>
      <c r="H1182" s="2490"/>
      <c r="I1182" s="2490"/>
      <c r="J1182" s="2491"/>
      <c r="K1182" s="2482"/>
    </row>
    <row r="1183" spans="1:226" s="2485" customFormat="1" ht="22.5">
      <c r="A1183" s="3140"/>
      <c r="B1183" s="3149"/>
      <c r="C1183" s="3145"/>
      <c r="D1183" s="3146"/>
      <c r="E1183" s="2497" t="s">
        <v>1093</v>
      </c>
      <c r="F1183" s="2498">
        <f>SUM(F1184:F1193)</f>
        <v>4025495</v>
      </c>
      <c r="G1183" s="2498">
        <f>SUM(G1184:G1193)</f>
        <v>632807</v>
      </c>
      <c r="H1183" s="2498">
        <f>SUM(H1184:H1193)</f>
        <v>0</v>
      </c>
      <c r="I1183" s="2498">
        <f>SUM(I1184:I1193)</f>
        <v>3392688</v>
      </c>
      <c r="J1183" s="2499">
        <f>SUM(J1184:J1193)</f>
        <v>0</v>
      </c>
      <c r="K1183" s="2482"/>
    </row>
    <row r="1184" spans="1:226" s="2485" customFormat="1" ht="14.1" customHeight="1">
      <c r="A1184" s="3140"/>
      <c r="B1184" s="3149"/>
      <c r="C1184" s="3145"/>
      <c r="D1184" s="3146"/>
      <c r="E1184" s="2489" t="s">
        <v>591</v>
      </c>
      <c r="F1184" s="2490">
        <f t="shared" ref="F1184:F1193" si="112">SUM(G1184:J1184)</f>
        <v>2650628</v>
      </c>
      <c r="G1184" s="2490"/>
      <c r="H1184" s="2490"/>
      <c r="I1184" s="2490">
        <v>2650628</v>
      </c>
      <c r="J1184" s="2491"/>
      <c r="K1184" s="2482"/>
    </row>
    <row r="1185" spans="1:11" s="2485" customFormat="1" ht="14.1" customHeight="1">
      <c r="A1185" s="3140"/>
      <c r="B1185" s="3149"/>
      <c r="C1185" s="3145"/>
      <c r="D1185" s="3146"/>
      <c r="E1185" s="2489" t="s">
        <v>592</v>
      </c>
      <c r="F1185" s="2490">
        <f t="shared" si="112"/>
        <v>494398</v>
      </c>
      <c r="G1185" s="2490">
        <v>494398</v>
      </c>
      <c r="H1185" s="2490"/>
      <c r="I1185" s="2490"/>
      <c r="J1185" s="2491"/>
      <c r="K1185" s="2482"/>
    </row>
    <row r="1186" spans="1:11" s="2485" customFormat="1" ht="14.1" customHeight="1">
      <c r="A1186" s="3140"/>
      <c r="B1186" s="3149"/>
      <c r="C1186" s="3145"/>
      <c r="D1186" s="3146"/>
      <c r="E1186" s="2489" t="s">
        <v>593</v>
      </c>
      <c r="F1186" s="2490">
        <f t="shared" si="112"/>
        <v>182301</v>
      </c>
      <c r="G1186" s="2490"/>
      <c r="H1186" s="2490"/>
      <c r="I1186" s="2490">
        <v>182301</v>
      </c>
      <c r="J1186" s="2491"/>
      <c r="K1186" s="2482"/>
    </row>
    <row r="1187" spans="1:11" s="2485" customFormat="1" ht="14.1" customHeight="1">
      <c r="A1187" s="3140"/>
      <c r="B1187" s="3149"/>
      <c r="C1187" s="3145"/>
      <c r="D1187" s="3146"/>
      <c r="E1187" s="2489" t="s">
        <v>594</v>
      </c>
      <c r="F1187" s="2490">
        <f t="shared" si="112"/>
        <v>34003</v>
      </c>
      <c r="G1187" s="2490">
        <v>34003</v>
      </c>
      <c r="H1187" s="2490"/>
      <c r="I1187" s="2490"/>
      <c r="J1187" s="2491"/>
      <c r="K1187" s="2482"/>
    </row>
    <row r="1188" spans="1:11" s="2485" customFormat="1" ht="14.1" customHeight="1">
      <c r="A1188" s="3140"/>
      <c r="B1188" s="3149"/>
      <c r="C1188" s="3145"/>
      <c r="D1188" s="3146"/>
      <c r="E1188" s="2489" t="s">
        <v>595</v>
      </c>
      <c r="F1188" s="2490">
        <f t="shared" si="112"/>
        <v>486981</v>
      </c>
      <c r="G1188" s="2490"/>
      <c r="H1188" s="2490"/>
      <c r="I1188" s="2490">
        <v>486981</v>
      </c>
      <c r="J1188" s="2491"/>
      <c r="K1188" s="2482"/>
    </row>
    <row r="1189" spans="1:11" s="2485" customFormat="1" ht="14.1" customHeight="1">
      <c r="A1189" s="3140"/>
      <c r="B1189" s="3149"/>
      <c r="C1189" s="3145"/>
      <c r="D1189" s="3146"/>
      <c r="E1189" s="2489" t="s">
        <v>596</v>
      </c>
      <c r="F1189" s="2490">
        <f t="shared" si="112"/>
        <v>90832</v>
      </c>
      <c r="G1189" s="2490">
        <v>90832</v>
      </c>
      <c r="H1189" s="2490"/>
      <c r="I1189" s="2490"/>
      <c r="J1189" s="2491"/>
      <c r="K1189" s="2482"/>
    </row>
    <row r="1190" spans="1:11" s="2485" customFormat="1" ht="14.1" customHeight="1">
      <c r="A1190" s="3140"/>
      <c r="B1190" s="3149"/>
      <c r="C1190" s="3145"/>
      <c r="D1190" s="3146"/>
      <c r="E1190" s="2489" t="s">
        <v>597</v>
      </c>
      <c r="F1190" s="2490">
        <f t="shared" si="112"/>
        <v>69407</v>
      </c>
      <c r="G1190" s="2490"/>
      <c r="H1190" s="2490"/>
      <c r="I1190" s="2490">
        <v>69407</v>
      </c>
      <c r="J1190" s="2491"/>
      <c r="K1190" s="2482"/>
    </row>
    <row r="1191" spans="1:11" s="2485" customFormat="1" ht="14.1" customHeight="1">
      <c r="A1191" s="3140"/>
      <c r="B1191" s="3149"/>
      <c r="C1191" s="3145"/>
      <c r="D1191" s="3146"/>
      <c r="E1191" s="2489" t="s">
        <v>598</v>
      </c>
      <c r="F1191" s="2490">
        <f t="shared" si="112"/>
        <v>12945</v>
      </c>
      <c r="G1191" s="2490">
        <v>12945</v>
      </c>
      <c r="H1191" s="2490"/>
      <c r="I1191" s="2490"/>
      <c r="J1191" s="2491"/>
      <c r="K1191" s="2482"/>
    </row>
    <row r="1192" spans="1:11" s="2485" customFormat="1" ht="14.1" customHeight="1">
      <c r="A1192" s="3140"/>
      <c r="B1192" s="3149"/>
      <c r="C1192" s="3145"/>
      <c r="D1192" s="3146"/>
      <c r="E1192" s="2489" t="s">
        <v>599</v>
      </c>
      <c r="F1192" s="2490">
        <f t="shared" si="112"/>
        <v>3371</v>
      </c>
      <c r="G1192" s="2490"/>
      <c r="H1192" s="2490"/>
      <c r="I1192" s="2490">
        <v>3371</v>
      </c>
      <c r="J1192" s="2491"/>
      <c r="K1192" s="2482"/>
    </row>
    <row r="1193" spans="1:11" s="2485" customFormat="1" ht="14.1" customHeight="1">
      <c r="A1193" s="3140"/>
      <c r="B1193" s="3149"/>
      <c r="C1193" s="3145"/>
      <c r="D1193" s="3146"/>
      <c r="E1193" s="2489" t="s">
        <v>600</v>
      </c>
      <c r="F1193" s="2490">
        <f t="shared" si="112"/>
        <v>629</v>
      </c>
      <c r="G1193" s="2490">
        <v>629</v>
      </c>
      <c r="H1193" s="2490"/>
      <c r="I1193" s="2490"/>
      <c r="J1193" s="2491"/>
      <c r="K1193" s="2482"/>
    </row>
    <row r="1194" spans="1:11" s="2485" customFormat="1" ht="22.5">
      <c r="A1194" s="3140"/>
      <c r="B1194" s="3149"/>
      <c r="C1194" s="3145"/>
      <c r="D1194" s="3146"/>
      <c r="E1194" s="2497" t="s">
        <v>1094</v>
      </c>
      <c r="F1194" s="2498">
        <f>SUM(F1195:F1222)</f>
        <v>677100</v>
      </c>
      <c r="G1194" s="2498">
        <f>SUM(G1195:G1222)</f>
        <v>106441</v>
      </c>
      <c r="H1194" s="2498">
        <f>SUM(H1195:H1222)</f>
        <v>0</v>
      </c>
      <c r="I1194" s="2498">
        <f>SUM(I1195:I1222)</f>
        <v>570659</v>
      </c>
      <c r="J1194" s="2499">
        <f>SUM(J1195:J1222)</f>
        <v>0</v>
      </c>
      <c r="K1194" s="2482"/>
    </row>
    <row r="1195" spans="1:11" s="2485" customFormat="1" ht="14.1" customHeight="1">
      <c r="A1195" s="3140"/>
      <c r="B1195" s="3149"/>
      <c r="C1195" s="3145"/>
      <c r="D1195" s="3146"/>
      <c r="E1195" s="2489" t="s">
        <v>741</v>
      </c>
      <c r="F1195" s="2490">
        <f t="shared" ref="F1195:F1222" si="113">SUM(G1195:J1195)</f>
        <v>5057</v>
      </c>
      <c r="G1195" s="2490"/>
      <c r="H1195" s="2490"/>
      <c r="I1195" s="2490">
        <v>5057</v>
      </c>
      <c r="J1195" s="2491"/>
      <c r="K1195" s="2482"/>
    </row>
    <row r="1196" spans="1:11" s="2485" customFormat="1" ht="14.1" customHeight="1">
      <c r="A1196" s="3140"/>
      <c r="B1196" s="3149"/>
      <c r="C1196" s="3145"/>
      <c r="D1196" s="3146"/>
      <c r="E1196" s="2489" t="s">
        <v>742</v>
      </c>
      <c r="F1196" s="2490">
        <f t="shared" si="113"/>
        <v>943</v>
      </c>
      <c r="G1196" s="2490">
        <v>943</v>
      </c>
      <c r="H1196" s="2490"/>
      <c r="I1196" s="2490"/>
      <c r="J1196" s="2491"/>
      <c r="K1196" s="2482"/>
    </row>
    <row r="1197" spans="1:11" s="2485" customFormat="1" ht="14.1" customHeight="1">
      <c r="A1197" s="3140"/>
      <c r="B1197" s="3149"/>
      <c r="C1197" s="3145"/>
      <c r="D1197" s="3146"/>
      <c r="E1197" s="2489" t="s">
        <v>604</v>
      </c>
      <c r="F1197" s="2490">
        <f t="shared" si="113"/>
        <v>64896</v>
      </c>
      <c r="G1197" s="2490"/>
      <c r="H1197" s="2490"/>
      <c r="I1197" s="2490">
        <v>64896</v>
      </c>
      <c r="J1197" s="2491"/>
      <c r="K1197" s="2482"/>
    </row>
    <row r="1198" spans="1:11" s="2485" customFormat="1" ht="14.1" customHeight="1">
      <c r="A1198" s="3140"/>
      <c r="B1198" s="3149"/>
      <c r="C1198" s="3145"/>
      <c r="D1198" s="3146"/>
      <c r="E1198" s="2489" t="s">
        <v>605</v>
      </c>
      <c r="F1198" s="2490">
        <f t="shared" si="113"/>
        <v>12104</v>
      </c>
      <c r="G1198" s="2490">
        <v>12104</v>
      </c>
      <c r="H1198" s="2490"/>
      <c r="I1198" s="2490"/>
      <c r="J1198" s="2491"/>
      <c r="K1198" s="2482"/>
    </row>
    <row r="1199" spans="1:11" s="2485" customFormat="1" ht="14.1" customHeight="1">
      <c r="A1199" s="3140"/>
      <c r="B1199" s="3149"/>
      <c r="C1199" s="3145"/>
      <c r="D1199" s="3146"/>
      <c r="E1199" s="2489" t="s">
        <v>746</v>
      </c>
      <c r="F1199" s="2490">
        <f t="shared" si="113"/>
        <v>58153</v>
      </c>
      <c r="G1199" s="2490"/>
      <c r="H1199" s="2490"/>
      <c r="I1199" s="2490">
        <v>58153</v>
      </c>
      <c r="J1199" s="2491"/>
      <c r="K1199" s="2482"/>
    </row>
    <row r="1200" spans="1:11" s="2485" customFormat="1" ht="14.1" customHeight="1">
      <c r="A1200" s="3140"/>
      <c r="B1200" s="3149"/>
      <c r="C1200" s="3145"/>
      <c r="D1200" s="3146"/>
      <c r="E1200" s="2489" t="s">
        <v>747</v>
      </c>
      <c r="F1200" s="2490">
        <f t="shared" si="113"/>
        <v>10847</v>
      </c>
      <c r="G1200" s="2490">
        <v>10847</v>
      </c>
      <c r="H1200" s="2490"/>
      <c r="I1200" s="2490"/>
      <c r="J1200" s="2491"/>
      <c r="K1200" s="2482"/>
    </row>
    <row r="1201" spans="1:226" s="2485" customFormat="1" ht="14.1" customHeight="1">
      <c r="A1201" s="3140"/>
      <c r="B1201" s="3149"/>
      <c r="C1201" s="3145"/>
      <c r="D1201" s="3146"/>
      <c r="E1201" s="2489" t="s">
        <v>606</v>
      </c>
      <c r="F1201" s="2490">
        <f t="shared" si="113"/>
        <v>8259</v>
      </c>
      <c r="G1201" s="2490"/>
      <c r="H1201" s="2490"/>
      <c r="I1201" s="2490">
        <v>8259</v>
      </c>
      <c r="J1201" s="2491"/>
      <c r="K1201" s="2482"/>
    </row>
    <row r="1202" spans="1:226" s="2485" customFormat="1" ht="14.1" customHeight="1">
      <c r="A1202" s="3140"/>
      <c r="B1202" s="3149"/>
      <c r="C1202" s="3145"/>
      <c r="D1202" s="3146"/>
      <c r="E1202" s="2489" t="s">
        <v>607</v>
      </c>
      <c r="F1202" s="2490">
        <f t="shared" si="113"/>
        <v>1541</v>
      </c>
      <c r="G1202" s="2490">
        <v>1541</v>
      </c>
      <c r="H1202" s="2490"/>
      <c r="I1202" s="2490"/>
      <c r="J1202" s="2491"/>
      <c r="K1202" s="2482"/>
    </row>
    <row r="1203" spans="1:226" s="2485" customFormat="1" ht="14.1" customHeight="1">
      <c r="A1203" s="3140"/>
      <c r="B1203" s="3149"/>
      <c r="C1203" s="3145"/>
      <c r="D1203" s="3146"/>
      <c r="E1203" s="2489" t="s">
        <v>748</v>
      </c>
      <c r="F1203" s="2490">
        <f t="shared" si="113"/>
        <v>2107</v>
      </c>
      <c r="G1203" s="2490"/>
      <c r="H1203" s="2490"/>
      <c r="I1203" s="2490">
        <v>2107</v>
      </c>
      <c r="J1203" s="2491"/>
      <c r="K1203" s="2482"/>
    </row>
    <row r="1204" spans="1:226" s="2485" customFormat="1" ht="14.1" customHeight="1">
      <c r="A1204" s="3140"/>
      <c r="B1204" s="3149"/>
      <c r="C1204" s="3145"/>
      <c r="D1204" s="3146"/>
      <c r="E1204" s="2489" t="s">
        <v>749</v>
      </c>
      <c r="F1204" s="2490">
        <f t="shared" si="113"/>
        <v>393</v>
      </c>
      <c r="G1204" s="2490">
        <v>393</v>
      </c>
      <c r="H1204" s="2490"/>
      <c r="I1204" s="2490"/>
      <c r="J1204" s="2491"/>
      <c r="K1204" s="2482"/>
    </row>
    <row r="1205" spans="1:226" s="2485" customFormat="1" ht="14.1" customHeight="1">
      <c r="A1205" s="3140"/>
      <c r="B1205" s="3149"/>
      <c r="C1205" s="3145"/>
      <c r="D1205" s="3146"/>
      <c r="E1205" s="2489" t="s">
        <v>608</v>
      </c>
      <c r="F1205" s="2490">
        <f t="shared" si="113"/>
        <v>161733</v>
      </c>
      <c r="G1205" s="2490"/>
      <c r="H1205" s="2490"/>
      <c r="I1205" s="2490">
        <v>161733</v>
      </c>
      <c r="J1205" s="2491"/>
      <c r="K1205" s="2482"/>
    </row>
    <row r="1206" spans="1:226" s="2485" customFormat="1" ht="14.1" customHeight="1">
      <c r="A1206" s="3140"/>
      <c r="B1206" s="3149"/>
      <c r="C1206" s="3145"/>
      <c r="D1206" s="3146"/>
      <c r="E1206" s="2489" t="s">
        <v>609</v>
      </c>
      <c r="F1206" s="2490">
        <f t="shared" si="113"/>
        <v>30167</v>
      </c>
      <c r="G1206" s="2490">
        <v>30167</v>
      </c>
      <c r="H1206" s="2490"/>
      <c r="I1206" s="2490"/>
      <c r="J1206" s="2491"/>
      <c r="K1206" s="2482"/>
    </row>
    <row r="1207" spans="1:226" s="2485" customFormat="1" ht="14.1" customHeight="1">
      <c r="A1207" s="3140"/>
      <c r="B1207" s="3149"/>
      <c r="C1207" s="3145"/>
      <c r="D1207" s="3146"/>
      <c r="E1207" s="2489" t="s">
        <v>750</v>
      </c>
      <c r="F1207" s="2490">
        <f t="shared" si="113"/>
        <v>6068</v>
      </c>
      <c r="G1207" s="2490"/>
      <c r="H1207" s="2490"/>
      <c r="I1207" s="2490">
        <v>6068</v>
      </c>
      <c r="J1207" s="2491"/>
      <c r="K1207" s="2482"/>
    </row>
    <row r="1208" spans="1:226" s="2485" customFormat="1" ht="14.1" customHeight="1">
      <c r="A1208" s="3140"/>
      <c r="B1208" s="3149"/>
      <c r="C1208" s="3145"/>
      <c r="D1208" s="3146"/>
      <c r="E1208" s="2489" t="s">
        <v>774</v>
      </c>
      <c r="F1208" s="2490">
        <f t="shared" si="113"/>
        <v>1132</v>
      </c>
      <c r="G1208" s="2490">
        <v>1132</v>
      </c>
      <c r="H1208" s="2490"/>
      <c r="I1208" s="2490"/>
      <c r="J1208" s="2491"/>
      <c r="K1208" s="2482"/>
    </row>
    <row r="1209" spans="1:226" s="2310" customFormat="1" ht="14.1" customHeight="1">
      <c r="A1209" s="3140"/>
      <c r="B1209" s="3149"/>
      <c r="C1209" s="3145"/>
      <c r="D1209" s="3146"/>
      <c r="E1209" s="2489" t="s">
        <v>728</v>
      </c>
      <c r="F1209" s="2490">
        <f t="shared" si="113"/>
        <v>421</v>
      </c>
      <c r="G1209" s="2490"/>
      <c r="H1209" s="2490"/>
      <c r="I1209" s="2490">
        <v>421</v>
      </c>
      <c r="J1209" s="2491"/>
      <c r="K1209" s="2284"/>
    </row>
    <row r="1210" spans="1:226" s="2310" customFormat="1" ht="14.1" customHeight="1">
      <c r="A1210" s="3140"/>
      <c r="B1210" s="3149"/>
      <c r="C1210" s="3145"/>
      <c r="D1210" s="3146"/>
      <c r="E1210" s="2489" t="s">
        <v>700</v>
      </c>
      <c r="F1210" s="2490">
        <f t="shared" si="113"/>
        <v>79</v>
      </c>
      <c r="G1210" s="2490">
        <v>79</v>
      </c>
      <c r="H1210" s="2490"/>
      <c r="I1210" s="2490"/>
      <c r="J1210" s="2491"/>
      <c r="K1210" s="2284"/>
    </row>
    <row r="1211" spans="1:226" s="2310" customFormat="1" ht="14.1" hidden="1" customHeight="1">
      <c r="A1211" s="3140"/>
      <c r="B1211" s="3149"/>
      <c r="C1211" s="3145"/>
      <c r="D1211" s="3146"/>
      <c r="E1211" s="2489" t="s">
        <v>610</v>
      </c>
      <c r="F1211" s="2490">
        <f t="shared" si="113"/>
        <v>0</v>
      </c>
      <c r="G1211" s="2490"/>
      <c r="H1211" s="2490"/>
      <c r="I1211" s="2490"/>
      <c r="J1211" s="2491"/>
      <c r="K1211" s="2284"/>
    </row>
    <row r="1212" spans="1:226" s="2310" customFormat="1" ht="14.1" hidden="1" customHeight="1">
      <c r="A1212" s="3140"/>
      <c r="B1212" s="3149"/>
      <c r="C1212" s="3145"/>
      <c r="D1212" s="3146"/>
      <c r="E1212" s="2489" t="s">
        <v>611</v>
      </c>
      <c r="F1212" s="2490">
        <f t="shared" si="113"/>
        <v>0</v>
      </c>
      <c r="G1212" s="2490"/>
      <c r="H1212" s="2490"/>
      <c r="I1212" s="2490"/>
      <c r="J1212" s="2491"/>
      <c r="K1212" s="2284"/>
    </row>
    <row r="1213" spans="1:226" s="2485" customFormat="1" ht="14.1" customHeight="1">
      <c r="A1213" s="3140"/>
      <c r="B1213" s="3149"/>
      <c r="C1213" s="3145"/>
      <c r="D1213" s="3146"/>
      <c r="E1213" s="2489" t="s">
        <v>752</v>
      </c>
      <c r="F1213" s="2490">
        <f t="shared" si="113"/>
        <v>194181</v>
      </c>
      <c r="G1213" s="2490"/>
      <c r="H1213" s="2490"/>
      <c r="I1213" s="2490">
        <v>194181</v>
      </c>
      <c r="J1213" s="2491"/>
      <c r="K1213" s="2482"/>
      <c r="L1213" s="2484"/>
      <c r="M1213" s="2484"/>
      <c r="N1213" s="2484"/>
      <c r="O1213" s="2484"/>
      <c r="P1213" s="2484"/>
      <c r="Q1213" s="2484"/>
      <c r="R1213" s="2484"/>
      <c r="S1213" s="2484"/>
      <c r="T1213" s="2484"/>
      <c r="U1213" s="2484"/>
      <c r="V1213" s="2484"/>
      <c r="W1213" s="2484"/>
      <c r="X1213" s="2484"/>
      <c r="Y1213" s="2484"/>
      <c r="Z1213" s="2484"/>
      <c r="AA1213" s="2484"/>
      <c r="AB1213" s="2484"/>
      <c r="AC1213" s="2484"/>
      <c r="AD1213" s="2484"/>
      <c r="AE1213" s="2484"/>
      <c r="AF1213" s="2484"/>
      <c r="AG1213" s="2484"/>
      <c r="AH1213" s="2484"/>
      <c r="AI1213" s="2484"/>
      <c r="AJ1213" s="2484"/>
      <c r="AK1213" s="2484"/>
      <c r="AL1213" s="2484"/>
      <c r="AM1213" s="2484"/>
      <c r="AN1213" s="2484"/>
      <c r="AO1213" s="2484"/>
      <c r="AP1213" s="2484"/>
      <c r="AQ1213" s="2484"/>
      <c r="AR1213" s="2484"/>
      <c r="AS1213" s="2484"/>
      <c r="AT1213" s="2484"/>
      <c r="AU1213" s="2484"/>
      <c r="AV1213" s="2484"/>
      <c r="AW1213" s="2484"/>
      <c r="AX1213" s="2484"/>
      <c r="AY1213" s="2484"/>
      <c r="AZ1213" s="2484"/>
      <c r="BA1213" s="2484"/>
      <c r="BB1213" s="2484"/>
      <c r="BC1213" s="2484"/>
      <c r="BD1213" s="2484"/>
      <c r="BE1213" s="2484"/>
      <c r="BF1213" s="2484"/>
      <c r="BG1213" s="2484"/>
      <c r="BH1213" s="2484"/>
      <c r="BI1213" s="2484"/>
      <c r="BJ1213" s="2484"/>
      <c r="BK1213" s="2484"/>
      <c r="BL1213" s="2484"/>
      <c r="BM1213" s="2484"/>
      <c r="BN1213" s="2484"/>
      <c r="BO1213" s="2484"/>
      <c r="BP1213" s="2484"/>
      <c r="BQ1213" s="2484"/>
      <c r="BR1213" s="2484"/>
      <c r="BS1213" s="2484"/>
      <c r="BT1213" s="2484"/>
      <c r="BU1213" s="2484"/>
      <c r="BV1213" s="2484"/>
      <c r="BW1213" s="2484"/>
      <c r="BX1213" s="2484"/>
      <c r="BY1213" s="2484"/>
      <c r="BZ1213" s="2484"/>
      <c r="CA1213" s="2484"/>
      <c r="CB1213" s="2484"/>
      <c r="CC1213" s="2484"/>
      <c r="CD1213" s="2484"/>
      <c r="CE1213" s="2484"/>
      <c r="CF1213" s="2484"/>
      <c r="CG1213" s="2484"/>
      <c r="CH1213" s="2484"/>
      <c r="CI1213" s="2484"/>
      <c r="CJ1213" s="2484"/>
      <c r="CK1213" s="2484"/>
      <c r="CL1213" s="2484"/>
      <c r="CM1213" s="2484"/>
      <c r="CN1213" s="2484"/>
      <c r="CO1213" s="2484"/>
      <c r="CP1213" s="2484"/>
      <c r="CQ1213" s="2484"/>
      <c r="CR1213" s="2484"/>
      <c r="CS1213" s="2484"/>
      <c r="CT1213" s="2484"/>
      <c r="CU1213" s="2484"/>
      <c r="CV1213" s="2484"/>
      <c r="CW1213" s="2484"/>
      <c r="CX1213" s="2484"/>
      <c r="CY1213" s="2484"/>
      <c r="CZ1213" s="2484"/>
      <c r="DA1213" s="2484"/>
      <c r="DB1213" s="2484"/>
      <c r="DC1213" s="2484"/>
      <c r="DD1213" s="2484"/>
      <c r="DE1213" s="2484"/>
      <c r="DF1213" s="2484"/>
      <c r="DG1213" s="2484"/>
      <c r="DH1213" s="2484"/>
      <c r="DI1213" s="2484"/>
      <c r="DJ1213" s="2484"/>
      <c r="DK1213" s="2484"/>
      <c r="DL1213" s="2484"/>
      <c r="DM1213" s="2484"/>
      <c r="DN1213" s="2484"/>
      <c r="DO1213" s="2484"/>
      <c r="DP1213" s="2484"/>
      <c r="DQ1213" s="2484"/>
      <c r="DR1213" s="2484"/>
      <c r="DS1213" s="2484"/>
      <c r="DT1213" s="2484"/>
      <c r="DU1213" s="2484"/>
      <c r="DV1213" s="2484"/>
      <c r="DW1213" s="2484"/>
      <c r="DX1213" s="2484"/>
      <c r="DY1213" s="2484"/>
      <c r="DZ1213" s="2484"/>
      <c r="EA1213" s="2484"/>
      <c r="EB1213" s="2484"/>
      <c r="EC1213" s="2484"/>
      <c r="ED1213" s="2484"/>
      <c r="EE1213" s="2484"/>
      <c r="EF1213" s="2484"/>
      <c r="EG1213" s="2484"/>
      <c r="EH1213" s="2484"/>
      <c r="EI1213" s="2484"/>
      <c r="EJ1213" s="2484"/>
      <c r="EK1213" s="2484"/>
      <c r="EL1213" s="2484"/>
      <c r="EM1213" s="2484"/>
      <c r="EN1213" s="2484"/>
      <c r="EO1213" s="2484"/>
      <c r="EP1213" s="2484"/>
      <c r="EQ1213" s="2484"/>
      <c r="ER1213" s="2484"/>
      <c r="ES1213" s="2484"/>
      <c r="ET1213" s="2484"/>
      <c r="EU1213" s="2484"/>
      <c r="EV1213" s="2484"/>
      <c r="EW1213" s="2484"/>
      <c r="EX1213" s="2484"/>
      <c r="EY1213" s="2484"/>
      <c r="EZ1213" s="2484"/>
      <c r="FA1213" s="2484"/>
      <c r="FB1213" s="2484"/>
      <c r="FC1213" s="2484"/>
      <c r="FD1213" s="2484"/>
      <c r="FE1213" s="2484"/>
      <c r="FF1213" s="2484"/>
      <c r="FG1213" s="2484"/>
      <c r="FH1213" s="2484"/>
      <c r="FI1213" s="2484"/>
      <c r="FJ1213" s="2484"/>
      <c r="FK1213" s="2484"/>
      <c r="FL1213" s="2484"/>
      <c r="FM1213" s="2484"/>
      <c r="FN1213" s="2484"/>
      <c r="FO1213" s="2484"/>
      <c r="FP1213" s="2484"/>
      <c r="FQ1213" s="2484"/>
      <c r="FR1213" s="2484"/>
      <c r="FS1213" s="2484"/>
      <c r="FT1213" s="2484"/>
      <c r="FU1213" s="2484"/>
      <c r="FV1213" s="2484"/>
      <c r="FW1213" s="2484"/>
      <c r="FX1213" s="2484"/>
      <c r="FY1213" s="2484"/>
      <c r="FZ1213" s="2484"/>
      <c r="GA1213" s="2484"/>
      <c r="GB1213" s="2484"/>
      <c r="GC1213" s="2484"/>
      <c r="GD1213" s="2484"/>
      <c r="GE1213" s="2484"/>
      <c r="GF1213" s="2484"/>
      <c r="GG1213" s="2484"/>
      <c r="GH1213" s="2484"/>
      <c r="GI1213" s="2484"/>
      <c r="GJ1213" s="2484"/>
      <c r="GK1213" s="2484"/>
      <c r="GL1213" s="2484"/>
      <c r="GM1213" s="2484"/>
      <c r="GN1213" s="2484"/>
      <c r="GO1213" s="2484"/>
      <c r="GP1213" s="2484"/>
      <c r="GQ1213" s="2484"/>
      <c r="GR1213" s="2484"/>
      <c r="GS1213" s="2484"/>
      <c r="GT1213" s="2484"/>
      <c r="GU1213" s="2484"/>
      <c r="GV1213" s="2484"/>
      <c r="GW1213" s="2484"/>
      <c r="GX1213" s="2484"/>
      <c r="GY1213" s="2484"/>
      <c r="GZ1213" s="2484"/>
      <c r="HA1213" s="2484"/>
      <c r="HB1213" s="2484"/>
      <c r="HC1213" s="2484"/>
      <c r="HD1213" s="2484"/>
      <c r="HE1213" s="2484"/>
      <c r="HF1213" s="2484"/>
      <c r="HG1213" s="2484"/>
      <c r="HH1213" s="2484"/>
      <c r="HI1213" s="2484"/>
      <c r="HJ1213" s="2484"/>
      <c r="HK1213" s="2484"/>
      <c r="HL1213" s="2484"/>
      <c r="HM1213" s="2484"/>
      <c r="HN1213" s="2484"/>
      <c r="HO1213" s="2484"/>
      <c r="HP1213" s="2484"/>
      <c r="HQ1213" s="2484"/>
      <c r="HR1213" s="2484"/>
    </row>
    <row r="1214" spans="1:226" s="2485" customFormat="1" ht="14.1" customHeight="1">
      <c r="A1214" s="3140"/>
      <c r="B1214" s="3149"/>
      <c r="C1214" s="3145"/>
      <c r="D1214" s="3146"/>
      <c r="E1214" s="2489" t="s">
        <v>753</v>
      </c>
      <c r="F1214" s="2490">
        <f t="shared" si="113"/>
        <v>36219</v>
      </c>
      <c r="G1214" s="2490">
        <v>36219</v>
      </c>
      <c r="H1214" s="2490"/>
      <c r="I1214" s="2490"/>
      <c r="J1214" s="2491"/>
      <c r="K1214" s="2482"/>
    </row>
    <row r="1215" spans="1:226" s="2485" customFormat="1" ht="14.1" customHeight="1">
      <c r="A1215" s="3140"/>
      <c r="B1215" s="3149"/>
      <c r="C1215" s="3145"/>
      <c r="D1215" s="3146"/>
      <c r="E1215" s="2489" t="s">
        <v>612</v>
      </c>
      <c r="F1215" s="2490">
        <f t="shared" si="113"/>
        <v>21070</v>
      </c>
      <c r="G1215" s="2490"/>
      <c r="H1215" s="2490"/>
      <c r="I1215" s="2490">
        <v>21070</v>
      </c>
      <c r="J1215" s="2491"/>
      <c r="K1215" s="2482"/>
    </row>
    <row r="1216" spans="1:226" s="2485" customFormat="1" ht="14.1" customHeight="1">
      <c r="A1216" s="3140"/>
      <c r="B1216" s="3149"/>
      <c r="C1216" s="3145"/>
      <c r="D1216" s="3146"/>
      <c r="E1216" s="2489" t="s">
        <v>613</v>
      </c>
      <c r="F1216" s="2490">
        <f t="shared" si="113"/>
        <v>3930</v>
      </c>
      <c r="G1216" s="2490">
        <v>3930</v>
      </c>
      <c r="H1216" s="2490"/>
      <c r="I1216" s="2490"/>
      <c r="J1216" s="2491"/>
      <c r="K1216" s="2482"/>
    </row>
    <row r="1217" spans="1:226" s="2485" customFormat="1" ht="14.1" customHeight="1">
      <c r="A1217" s="3140"/>
      <c r="B1217" s="3149"/>
      <c r="C1217" s="3145"/>
      <c r="D1217" s="3146"/>
      <c r="E1217" s="2489" t="s">
        <v>754</v>
      </c>
      <c r="F1217" s="2490">
        <f t="shared" si="113"/>
        <v>674</v>
      </c>
      <c r="G1217" s="2490"/>
      <c r="H1217" s="2490"/>
      <c r="I1217" s="2490">
        <v>674</v>
      </c>
      <c r="J1217" s="2491"/>
      <c r="K1217" s="2482"/>
    </row>
    <row r="1218" spans="1:226" s="2485" customFormat="1" ht="14.1" customHeight="1">
      <c r="A1218" s="3140"/>
      <c r="B1218" s="3149"/>
      <c r="C1218" s="3145"/>
      <c r="D1218" s="3146"/>
      <c r="E1218" s="2489" t="s">
        <v>755</v>
      </c>
      <c r="F1218" s="2490">
        <f t="shared" si="113"/>
        <v>126</v>
      </c>
      <c r="G1218" s="2490">
        <v>126</v>
      </c>
      <c r="H1218" s="2490"/>
      <c r="I1218" s="2490"/>
      <c r="J1218" s="2491"/>
      <c r="K1218" s="2482"/>
    </row>
    <row r="1219" spans="1:226" s="2485" customFormat="1" ht="14.1" customHeight="1">
      <c r="A1219" s="3140"/>
      <c r="B1219" s="3149"/>
      <c r="C1219" s="3145"/>
      <c r="D1219" s="3146"/>
      <c r="E1219" s="2489" t="s">
        <v>756</v>
      </c>
      <c r="F1219" s="2490">
        <f t="shared" si="113"/>
        <v>1686</v>
      </c>
      <c r="G1219" s="2490"/>
      <c r="H1219" s="2490"/>
      <c r="I1219" s="2490">
        <v>1686</v>
      </c>
      <c r="J1219" s="2491"/>
      <c r="K1219" s="2482"/>
    </row>
    <row r="1220" spans="1:226" s="2485" customFormat="1" ht="14.1" customHeight="1">
      <c r="A1220" s="3140"/>
      <c r="B1220" s="3149"/>
      <c r="C1220" s="3145"/>
      <c r="D1220" s="3146"/>
      <c r="E1220" s="2489" t="s">
        <v>757</v>
      </c>
      <c r="F1220" s="2490">
        <f t="shared" si="113"/>
        <v>314</v>
      </c>
      <c r="G1220" s="2490">
        <v>314</v>
      </c>
      <c r="H1220" s="2490"/>
      <c r="I1220" s="2490"/>
      <c r="J1220" s="2491"/>
      <c r="K1220" s="2482"/>
    </row>
    <row r="1221" spans="1:226" s="2485" customFormat="1" ht="14.1" customHeight="1">
      <c r="A1221" s="3140"/>
      <c r="B1221" s="3149"/>
      <c r="C1221" s="3145"/>
      <c r="D1221" s="3146"/>
      <c r="E1221" s="2489" t="s">
        <v>616</v>
      </c>
      <c r="F1221" s="2490">
        <f t="shared" si="113"/>
        <v>46354</v>
      </c>
      <c r="G1221" s="2490"/>
      <c r="H1221" s="2490"/>
      <c r="I1221" s="2490">
        <v>46354</v>
      </c>
      <c r="J1221" s="2491"/>
      <c r="K1221" s="2482"/>
    </row>
    <row r="1222" spans="1:226" s="2485" customFormat="1" ht="14.1" customHeight="1">
      <c r="A1222" s="3140"/>
      <c r="B1222" s="3149"/>
      <c r="C1222" s="3145"/>
      <c r="D1222" s="3146"/>
      <c r="E1222" s="2489" t="s">
        <v>617</v>
      </c>
      <c r="F1222" s="2490">
        <f t="shared" si="113"/>
        <v>8646</v>
      </c>
      <c r="G1222" s="2490">
        <v>8646</v>
      </c>
      <c r="H1222" s="2490"/>
      <c r="I1222" s="2490"/>
      <c r="J1222" s="2491"/>
      <c r="K1222" s="2482"/>
    </row>
    <row r="1223" spans="1:226" s="2485" customFormat="1" ht="18.75" customHeight="1">
      <c r="A1223" s="3141"/>
      <c r="B1223" s="3150"/>
      <c r="C1223" s="3116"/>
      <c r="D1223" s="3118"/>
      <c r="E1223" s="2492" t="s">
        <v>1087</v>
      </c>
      <c r="F1223" s="2487">
        <f>SUM(F1224:F1225)</f>
        <v>0</v>
      </c>
      <c r="G1223" s="2487">
        <f>SUM(G1224:G1225)</f>
        <v>0</v>
      </c>
      <c r="H1223" s="2487">
        <f>SUM(H1224:H1225)</f>
        <v>0</v>
      </c>
      <c r="I1223" s="2487">
        <f>SUM(I1224:I1225)</f>
        <v>0</v>
      </c>
      <c r="J1223" s="2488">
        <f>SUM(J1224:J1225)</f>
        <v>0</v>
      </c>
      <c r="K1223" s="2482"/>
    </row>
    <row r="1224" spans="1:226" s="2485" customFormat="1" ht="15" hidden="1" customHeight="1">
      <c r="A1224" s="2528"/>
      <c r="B1224" s="2529"/>
      <c r="C1224" s="2532"/>
      <c r="D1224" s="2533"/>
      <c r="E1224" s="2489" t="s">
        <v>691</v>
      </c>
      <c r="F1224" s="2490">
        <f>SUM(G1224:J1224)</f>
        <v>0</v>
      </c>
      <c r="G1224" s="2490"/>
      <c r="H1224" s="2490"/>
      <c r="I1224" s="2490"/>
      <c r="J1224" s="2491"/>
      <c r="K1224" s="2482"/>
    </row>
    <row r="1225" spans="1:226" s="2485" customFormat="1" ht="15" hidden="1" customHeight="1">
      <c r="A1225" s="2530"/>
      <c r="B1225" s="2531"/>
      <c r="C1225" s="2534"/>
      <c r="D1225" s="2535"/>
      <c r="E1225" s="2503">
        <v>6069</v>
      </c>
      <c r="F1225" s="2490">
        <f>SUM(G1225:J1225)</f>
        <v>0</v>
      </c>
      <c r="G1225" s="2490"/>
      <c r="H1225" s="2490"/>
      <c r="I1225" s="2490"/>
      <c r="J1225" s="2491"/>
      <c r="K1225" s="2482"/>
    </row>
    <row r="1226" spans="1:226" s="2485" customFormat="1" ht="18" customHeight="1">
      <c r="A1226" s="3112" t="s">
        <v>1095</v>
      </c>
      <c r="B1226" s="3113" t="s">
        <v>1197</v>
      </c>
      <c r="C1226" s="3114">
        <v>853</v>
      </c>
      <c r="D1226" s="3134" t="s">
        <v>914</v>
      </c>
      <c r="E1226" s="2479" t="s">
        <v>1086</v>
      </c>
      <c r="F1226" s="2480">
        <f>SUM(F1227,F1269)</f>
        <v>15938167</v>
      </c>
      <c r="G1226" s="2480">
        <f>SUM(G1227,G1269)</f>
        <v>2390724</v>
      </c>
      <c r="H1226" s="2480">
        <f>SUM(H1227,H1269)</f>
        <v>0</v>
      </c>
      <c r="I1226" s="2480">
        <f>SUM(I1227,I1269)</f>
        <v>13547443</v>
      </c>
      <c r="J1226" s="2481">
        <f>SUM(J1227,J1269)</f>
        <v>0</v>
      </c>
      <c r="K1226" s="2482"/>
    </row>
    <row r="1227" spans="1:226" s="2485" customFormat="1" ht="17.25" customHeight="1">
      <c r="A1227" s="3112"/>
      <c r="B1227" s="3113"/>
      <c r="C1227" s="3114"/>
      <c r="D1227" s="3134"/>
      <c r="E1227" s="2486" t="s">
        <v>1092</v>
      </c>
      <c r="F1227" s="2487">
        <f>SUM(F1228,F1231,F1242)</f>
        <v>15908167</v>
      </c>
      <c r="G1227" s="2487">
        <f>SUM(G1228,G1231,G1242)</f>
        <v>2386224</v>
      </c>
      <c r="H1227" s="2487">
        <f>SUM(H1228,H1231,H1242)</f>
        <v>0</v>
      </c>
      <c r="I1227" s="2487">
        <f>SUM(I1228,I1231,I1242)</f>
        <v>13521943</v>
      </c>
      <c r="J1227" s="2488">
        <f>SUM(J1228,J1231,J1242)</f>
        <v>0</v>
      </c>
      <c r="K1227" s="2482"/>
      <c r="L1227" s="2484"/>
      <c r="M1227" s="2484"/>
      <c r="N1227" s="2484"/>
      <c r="O1227" s="2484"/>
      <c r="P1227" s="2484"/>
      <c r="Q1227" s="2484"/>
      <c r="R1227" s="2484"/>
      <c r="S1227" s="2484"/>
      <c r="T1227" s="2484"/>
      <c r="U1227" s="2484"/>
      <c r="V1227" s="2484"/>
      <c r="W1227" s="2484"/>
      <c r="X1227" s="2484"/>
      <c r="Y1227" s="2484"/>
      <c r="Z1227" s="2484"/>
      <c r="AA1227" s="2484"/>
      <c r="AB1227" s="2484"/>
      <c r="AC1227" s="2484"/>
      <c r="AD1227" s="2484"/>
      <c r="AE1227" s="2484"/>
      <c r="AF1227" s="2484"/>
      <c r="AG1227" s="2484"/>
      <c r="AH1227" s="2484"/>
      <c r="AI1227" s="2484"/>
      <c r="AJ1227" s="2484"/>
      <c r="AK1227" s="2484"/>
      <c r="AL1227" s="2484"/>
      <c r="AM1227" s="2484"/>
      <c r="AN1227" s="2484"/>
      <c r="AO1227" s="2484"/>
      <c r="AP1227" s="2484"/>
      <c r="AQ1227" s="2484"/>
      <c r="AR1227" s="2484"/>
      <c r="AS1227" s="2484"/>
      <c r="AT1227" s="2484"/>
      <c r="AU1227" s="2484"/>
      <c r="AV1227" s="2484"/>
      <c r="AW1227" s="2484"/>
      <c r="AX1227" s="2484"/>
      <c r="AY1227" s="2484"/>
      <c r="AZ1227" s="2484"/>
      <c r="BA1227" s="2484"/>
      <c r="BB1227" s="2484"/>
      <c r="BC1227" s="2484"/>
      <c r="BD1227" s="2484"/>
      <c r="BE1227" s="2484"/>
      <c r="BF1227" s="2484"/>
      <c r="BG1227" s="2484"/>
      <c r="BH1227" s="2484"/>
      <c r="BI1227" s="2484"/>
      <c r="BJ1227" s="2484"/>
      <c r="BK1227" s="2484"/>
      <c r="BL1227" s="2484"/>
      <c r="BM1227" s="2484"/>
      <c r="BN1227" s="2484"/>
      <c r="BO1227" s="2484"/>
      <c r="BP1227" s="2484"/>
      <c r="BQ1227" s="2484"/>
      <c r="BR1227" s="2484"/>
      <c r="BS1227" s="2484"/>
      <c r="BT1227" s="2484"/>
      <c r="BU1227" s="2484"/>
      <c r="BV1227" s="2484"/>
      <c r="BW1227" s="2484"/>
      <c r="BX1227" s="2484"/>
      <c r="BY1227" s="2484"/>
      <c r="BZ1227" s="2484"/>
      <c r="CA1227" s="2484"/>
      <c r="CB1227" s="2484"/>
      <c r="CC1227" s="2484"/>
      <c r="CD1227" s="2484"/>
      <c r="CE1227" s="2484"/>
      <c r="CF1227" s="2484"/>
      <c r="CG1227" s="2484"/>
      <c r="CH1227" s="2484"/>
      <c r="CI1227" s="2484"/>
      <c r="CJ1227" s="2484"/>
      <c r="CK1227" s="2484"/>
      <c r="CL1227" s="2484"/>
      <c r="CM1227" s="2484"/>
      <c r="CN1227" s="2484"/>
      <c r="CO1227" s="2484"/>
      <c r="CP1227" s="2484"/>
      <c r="CQ1227" s="2484"/>
      <c r="CR1227" s="2484"/>
      <c r="CS1227" s="2484"/>
      <c r="CT1227" s="2484"/>
      <c r="CU1227" s="2484"/>
      <c r="CV1227" s="2484"/>
      <c r="CW1227" s="2484"/>
      <c r="CX1227" s="2484"/>
      <c r="CY1227" s="2484"/>
      <c r="CZ1227" s="2484"/>
      <c r="DA1227" s="2484"/>
      <c r="DB1227" s="2484"/>
      <c r="DC1227" s="2484"/>
      <c r="DD1227" s="2484"/>
      <c r="DE1227" s="2484"/>
      <c r="DF1227" s="2484"/>
      <c r="DG1227" s="2484"/>
      <c r="DH1227" s="2484"/>
      <c r="DI1227" s="2484"/>
      <c r="DJ1227" s="2484"/>
      <c r="DK1227" s="2484"/>
      <c r="DL1227" s="2484"/>
      <c r="DM1227" s="2484"/>
      <c r="DN1227" s="2484"/>
      <c r="DO1227" s="2484"/>
      <c r="DP1227" s="2484"/>
      <c r="DQ1227" s="2484"/>
      <c r="DR1227" s="2484"/>
      <c r="DS1227" s="2484"/>
      <c r="DT1227" s="2484"/>
      <c r="DU1227" s="2484"/>
      <c r="DV1227" s="2484"/>
      <c r="DW1227" s="2484"/>
      <c r="DX1227" s="2484"/>
      <c r="DY1227" s="2484"/>
      <c r="DZ1227" s="2484"/>
      <c r="EA1227" s="2484"/>
      <c r="EB1227" s="2484"/>
      <c r="EC1227" s="2484"/>
      <c r="ED1227" s="2484"/>
      <c r="EE1227" s="2484"/>
      <c r="EF1227" s="2484"/>
      <c r="EG1227" s="2484"/>
      <c r="EH1227" s="2484"/>
      <c r="EI1227" s="2484"/>
      <c r="EJ1227" s="2484"/>
      <c r="EK1227" s="2484"/>
      <c r="EL1227" s="2484"/>
      <c r="EM1227" s="2484"/>
      <c r="EN1227" s="2484"/>
      <c r="EO1227" s="2484"/>
      <c r="EP1227" s="2484"/>
      <c r="EQ1227" s="2484"/>
      <c r="ER1227" s="2484"/>
      <c r="ES1227" s="2484"/>
      <c r="ET1227" s="2484"/>
      <c r="EU1227" s="2484"/>
      <c r="EV1227" s="2484"/>
      <c r="EW1227" s="2484"/>
      <c r="EX1227" s="2484"/>
      <c r="EY1227" s="2484"/>
      <c r="EZ1227" s="2484"/>
      <c r="FA1227" s="2484"/>
      <c r="FB1227" s="2484"/>
      <c r="FC1227" s="2484"/>
      <c r="FD1227" s="2484"/>
      <c r="FE1227" s="2484"/>
      <c r="FF1227" s="2484"/>
      <c r="FG1227" s="2484"/>
      <c r="FH1227" s="2484"/>
      <c r="FI1227" s="2484"/>
      <c r="FJ1227" s="2484"/>
      <c r="FK1227" s="2484"/>
      <c r="FL1227" s="2484"/>
      <c r="FM1227" s="2484"/>
      <c r="FN1227" s="2484"/>
      <c r="FO1227" s="2484"/>
      <c r="FP1227" s="2484"/>
      <c r="FQ1227" s="2484"/>
      <c r="FR1227" s="2484"/>
      <c r="FS1227" s="2484"/>
      <c r="FT1227" s="2484"/>
      <c r="FU1227" s="2484"/>
      <c r="FV1227" s="2484"/>
      <c r="FW1227" s="2484"/>
      <c r="FX1227" s="2484"/>
      <c r="FY1227" s="2484"/>
      <c r="FZ1227" s="2484"/>
      <c r="GA1227" s="2484"/>
      <c r="GB1227" s="2484"/>
      <c r="GC1227" s="2484"/>
      <c r="GD1227" s="2484"/>
      <c r="GE1227" s="2484"/>
      <c r="GF1227" s="2484"/>
      <c r="GG1227" s="2484"/>
      <c r="GH1227" s="2484"/>
      <c r="GI1227" s="2484"/>
      <c r="GJ1227" s="2484"/>
      <c r="GK1227" s="2484"/>
      <c r="GL1227" s="2484"/>
      <c r="GM1227" s="2484"/>
      <c r="GN1227" s="2484"/>
      <c r="GO1227" s="2484"/>
      <c r="GP1227" s="2484"/>
      <c r="GQ1227" s="2484"/>
      <c r="GR1227" s="2484"/>
      <c r="GS1227" s="2484"/>
      <c r="GT1227" s="2484"/>
      <c r="GU1227" s="2484"/>
      <c r="GV1227" s="2484"/>
      <c r="GW1227" s="2484"/>
      <c r="GX1227" s="2484"/>
      <c r="GY1227" s="2484"/>
      <c r="GZ1227" s="2484"/>
      <c r="HA1227" s="2484"/>
      <c r="HB1227" s="2484"/>
      <c r="HC1227" s="2484"/>
      <c r="HD1227" s="2484"/>
      <c r="HE1227" s="2484"/>
      <c r="HF1227" s="2484"/>
      <c r="HG1227" s="2484"/>
      <c r="HH1227" s="2484"/>
      <c r="HI1227" s="2484"/>
      <c r="HJ1227" s="2484"/>
      <c r="HK1227" s="2484"/>
      <c r="HL1227" s="2484"/>
      <c r="HM1227" s="2484"/>
      <c r="HN1227" s="2484"/>
      <c r="HO1227" s="2484"/>
      <c r="HP1227" s="2484"/>
      <c r="HQ1227" s="2484"/>
      <c r="HR1227" s="2484"/>
    </row>
    <row r="1228" spans="1:226" s="2485" customFormat="1" ht="15" hidden="1" customHeight="1">
      <c r="A1228" s="3112"/>
      <c r="B1228" s="3113"/>
      <c r="C1228" s="3114"/>
      <c r="D1228" s="3134"/>
      <c r="E1228" s="2497" t="s">
        <v>1109</v>
      </c>
      <c r="F1228" s="2498">
        <f>SUM(F1229:F1230)</f>
        <v>0</v>
      </c>
      <c r="G1228" s="2498">
        <f>SUM(G1229:G1230)</f>
        <v>0</v>
      </c>
      <c r="H1228" s="2498">
        <f>SUM(H1229:H1230)</f>
        <v>0</v>
      </c>
      <c r="I1228" s="2498">
        <f>SUM(I1229:I1230)</f>
        <v>0</v>
      </c>
      <c r="J1228" s="2499">
        <f>SUM(J1229:J1230)</f>
        <v>0</v>
      </c>
      <c r="K1228" s="2482"/>
    </row>
    <row r="1229" spans="1:226" s="2485" customFormat="1" ht="15" hidden="1" customHeight="1">
      <c r="A1229" s="3112"/>
      <c r="B1229" s="3113"/>
      <c r="C1229" s="3114"/>
      <c r="D1229" s="3134"/>
      <c r="E1229" s="2489"/>
      <c r="F1229" s="2490">
        <f>SUM(G1229:J1229)</f>
        <v>0</v>
      </c>
      <c r="G1229" s="2490"/>
      <c r="H1229" s="2490"/>
      <c r="I1229" s="2490"/>
      <c r="J1229" s="2491"/>
      <c r="K1229" s="2482"/>
    </row>
    <row r="1230" spans="1:226" s="2485" customFormat="1" ht="15" hidden="1" customHeight="1">
      <c r="A1230" s="3112"/>
      <c r="B1230" s="3113"/>
      <c r="C1230" s="3114"/>
      <c r="D1230" s="3134"/>
      <c r="E1230" s="2489"/>
      <c r="F1230" s="2490">
        <f>SUM(G1230:J1230)</f>
        <v>0</v>
      </c>
      <c r="G1230" s="2490"/>
      <c r="H1230" s="2490"/>
      <c r="I1230" s="2490"/>
      <c r="J1230" s="2491"/>
      <c r="K1230" s="2482"/>
    </row>
    <row r="1231" spans="1:226" s="2485" customFormat="1" ht="18.75" customHeight="1">
      <c r="A1231" s="3112"/>
      <c r="B1231" s="3113"/>
      <c r="C1231" s="3114"/>
      <c r="D1231" s="3134"/>
      <c r="E1231" s="2497" t="s">
        <v>1093</v>
      </c>
      <c r="F1231" s="2498">
        <f>SUM(F1232:F1241)</f>
        <v>14525897</v>
      </c>
      <c r="G1231" s="2498">
        <f>SUM(G1232:G1241)</f>
        <v>2178884</v>
      </c>
      <c r="H1231" s="2498">
        <f>SUM(H1232:H1241)</f>
        <v>0</v>
      </c>
      <c r="I1231" s="2498">
        <f>SUM(I1232:I1241)</f>
        <v>12347013</v>
      </c>
      <c r="J1231" s="2499">
        <f>SUM(J1232:J1241)</f>
        <v>0</v>
      </c>
      <c r="K1231" s="2482"/>
    </row>
    <row r="1232" spans="1:226" s="2485" customFormat="1" ht="14.1" customHeight="1">
      <c r="A1232" s="3112"/>
      <c r="B1232" s="3113"/>
      <c r="C1232" s="3114"/>
      <c r="D1232" s="3134"/>
      <c r="E1232" s="2489" t="s">
        <v>591</v>
      </c>
      <c r="F1232" s="2490">
        <f t="shared" ref="F1232:F1241" si="114">SUM(G1232:J1232)</f>
        <v>9646925</v>
      </c>
      <c r="G1232" s="2490"/>
      <c r="H1232" s="2490"/>
      <c r="I1232" s="2490">
        <v>9646925</v>
      </c>
      <c r="J1232" s="2491"/>
      <c r="K1232" s="2482"/>
    </row>
    <row r="1233" spans="1:11" s="2485" customFormat="1" ht="14.1" customHeight="1">
      <c r="A1233" s="3112"/>
      <c r="B1233" s="3113"/>
      <c r="C1233" s="3114"/>
      <c r="D1233" s="3134"/>
      <c r="E1233" s="2489" t="s">
        <v>592</v>
      </c>
      <c r="F1233" s="2490">
        <f t="shared" si="114"/>
        <v>1702399</v>
      </c>
      <c r="G1233" s="2490">
        <v>1702399</v>
      </c>
      <c r="H1233" s="2490"/>
      <c r="I1233" s="2490"/>
      <c r="J1233" s="2491"/>
      <c r="K1233" s="2482"/>
    </row>
    <row r="1234" spans="1:11" s="2485" customFormat="1" ht="14.1" customHeight="1">
      <c r="A1234" s="3112"/>
      <c r="B1234" s="3113"/>
      <c r="C1234" s="3114"/>
      <c r="D1234" s="3134"/>
      <c r="E1234" s="2489" t="s">
        <v>593</v>
      </c>
      <c r="F1234" s="2490">
        <f t="shared" si="114"/>
        <v>637690</v>
      </c>
      <c r="G1234" s="2490"/>
      <c r="H1234" s="2490"/>
      <c r="I1234" s="2490">
        <v>637690</v>
      </c>
      <c r="J1234" s="2491"/>
      <c r="K1234" s="2482"/>
    </row>
    <row r="1235" spans="1:11" s="2485" customFormat="1" ht="14.1" customHeight="1">
      <c r="A1235" s="3112"/>
      <c r="B1235" s="3113"/>
      <c r="C1235" s="3114"/>
      <c r="D1235" s="3134"/>
      <c r="E1235" s="2489" t="s">
        <v>594</v>
      </c>
      <c r="F1235" s="2490">
        <f t="shared" si="114"/>
        <v>112533</v>
      </c>
      <c r="G1235" s="2490">
        <v>112533</v>
      </c>
      <c r="H1235" s="2490"/>
      <c r="I1235" s="2490"/>
      <c r="J1235" s="2491"/>
      <c r="K1235" s="2482"/>
    </row>
    <row r="1236" spans="1:11" s="2485" customFormat="1" ht="14.1" customHeight="1">
      <c r="A1236" s="3112"/>
      <c r="B1236" s="3113"/>
      <c r="C1236" s="3114"/>
      <c r="D1236" s="3134"/>
      <c r="E1236" s="2489" t="s">
        <v>595</v>
      </c>
      <c r="F1236" s="2490">
        <f t="shared" si="114"/>
        <v>1767926</v>
      </c>
      <c r="G1236" s="2490"/>
      <c r="H1236" s="2490"/>
      <c r="I1236" s="2490">
        <v>1767926</v>
      </c>
      <c r="J1236" s="2491"/>
      <c r="K1236" s="2482"/>
    </row>
    <row r="1237" spans="1:11" s="2485" customFormat="1" ht="14.1" customHeight="1">
      <c r="A1237" s="3112"/>
      <c r="B1237" s="3113"/>
      <c r="C1237" s="3114"/>
      <c r="D1237" s="3134"/>
      <c r="E1237" s="2489" t="s">
        <v>596</v>
      </c>
      <c r="F1237" s="2490">
        <f t="shared" si="114"/>
        <v>311986</v>
      </c>
      <c r="G1237" s="2490">
        <v>311986</v>
      </c>
      <c r="H1237" s="2490"/>
      <c r="I1237" s="2490"/>
      <c r="J1237" s="2491"/>
      <c r="K1237" s="2482"/>
    </row>
    <row r="1238" spans="1:11" s="2485" customFormat="1" ht="14.1" customHeight="1">
      <c r="A1238" s="3112"/>
      <c r="B1238" s="3113"/>
      <c r="C1238" s="3114"/>
      <c r="D1238" s="3134"/>
      <c r="E1238" s="2489" t="s">
        <v>597</v>
      </c>
      <c r="F1238" s="2490">
        <f t="shared" si="114"/>
        <v>251972</v>
      </c>
      <c r="G1238" s="2490"/>
      <c r="H1238" s="2490"/>
      <c r="I1238" s="2490">
        <v>251972</v>
      </c>
      <c r="J1238" s="2491"/>
      <c r="K1238" s="2482"/>
    </row>
    <row r="1239" spans="1:11" s="2485" customFormat="1" ht="14.1" customHeight="1">
      <c r="A1239" s="3112"/>
      <c r="B1239" s="3113"/>
      <c r="C1239" s="3114"/>
      <c r="D1239" s="3134"/>
      <c r="E1239" s="2489" t="s">
        <v>598</v>
      </c>
      <c r="F1239" s="2490">
        <f t="shared" si="114"/>
        <v>44466</v>
      </c>
      <c r="G1239" s="2490">
        <v>44466</v>
      </c>
      <c r="H1239" s="2490"/>
      <c r="I1239" s="2490"/>
      <c r="J1239" s="2491"/>
      <c r="K1239" s="2482"/>
    </row>
    <row r="1240" spans="1:11" s="2485" customFormat="1" ht="14.1" customHeight="1">
      <c r="A1240" s="3112"/>
      <c r="B1240" s="3113"/>
      <c r="C1240" s="3114"/>
      <c r="D1240" s="3134"/>
      <c r="E1240" s="2489" t="s">
        <v>599</v>
      </c>
      <c r="F1240" s="2490">
        <f t="shared" si="114"/>
        <v>42500</v>
      </c>
      <c r="G1240" s="2490"/>
      <c r="H1240" s="2490"/>
      <c r="I1240" s="2490">
        <v>42500</v>
      </c>
      <c r="J1240" s="2491"/>
      <c r="K1240" s="2482"/>
    </row>
    <row r="1241" spans="1:11" s="2485" customFormat="1" ht="14.1" customHeight="1">
      <c r="A1241" s="3112"/>
      <c r="B1241" s="3113"/>
      <c r="C1241" s="3114"/>
      <c r="D1241" s="3134"/>
      <c r="E1241" s="2489" t="s">
        <v>600</v>
      </c>
      <c r="F1241" s="2490">
        <f t="shared" si="114"/>
        <v>7500</v>
      </c>
      <c r="G1241" s="2490">
        <v>7500</v>
      </c>
      <c r="H1241" s="2490"/>
      <c r="I1241" s="2490"/>
      <c r="J1241" s="2491"/>
      <c r="K1241" s="2482"/>
    </row>
    <row r="1242" spans="1:11" s="2485" customFormat="1" ht="21" customHeight="1">
      <c r="A1242" s="3112"/>
      <c r="B1242" s="3113"/>
      <c r="C1242" s="3114"/>
      <c r="D1242" s="3134"/>
      <c r="E1242" s="2497" t="s">
        <v>1094</v>
      </c>
      <c r="F1242" s="2498">
        <f>SUM(F1243:F1268)</f>
        <v>1382270</v>
      </c>
      <c r="G1242" s="2498">
        <f>SUM(G1243:G1268)</f>
        <v>207340</v>
      </c>
      <c r="H1242" s="2498">
        <f>SUM(H1243:H1268)</f>
        <v>0</v>
      </c>
      <c r="I1242" s="2498">
        <f>SUM(I1243:I1268)</f>
        <v>1174930</v>
      </c>
      <c r="J1242" s="2499">
        <f>SUM(J1243:J1268)</f>
        <v>0</v>
      </c>
      <c r="K1242" s="2482"/>
    </row>
    <row r="1243" spans="1:11" s="2485" customFormat="1" ht="14.1" customHeight="1">
      <c r="A1243" s="3112"/>
      <c r="B1243" s="3113"/>
      <c r="C1243" s="3114"/>
      <c r="D1243" s="3134"/>
      <c r="E1243" s="2489" t="s">
        <v>741</v>
      </c>
      <c r="F1243" s="2490">
        <f t="shared" ref="F1243:F1268" si="115">SUM(G1243:J1243)</f>
        <v>10200</v>
      </c>
      <c r="G1243" s="2490"/>
      <c r="H1243" s="2490"/>
      <c r="I1243" s="2490">
        <v>10200</v>
      </c>
      <c r="J1243" s="2491"/>
      <c r="K1243" s="2482"/>
    </row>
    <row r="1244" spans="1:11" s="2485" customFormat="1" ht="14.1" customHeight="1">
      <c r="A1244" s="3112"/>
      <c r="B1244" s="3113"/>
      <c r="C1244" s="3114"/>
      <c r="D1244" s="3134"/>
      <c r="E1244" s="2489" t="s">
        <v>742</v>
      </c>
      <c r="F1244" s="2490">
        <f t="shared" si="115"/>
        <v>1800</v>
      </c>
      <c r="G1244" s="2490">
        <v>1800</v>
      </c>
      <c r="H1244" s="2490"/>
      <c r="I1244" s="2490"/>
      <c r="J1244" s="2491"/>
      <c r="K1244" s="2482"/>
    </row>
    <row r="1245" spans="1:11" s="2485" customFormat="1" ht="14.1" customHeight="1">
      <c r="A1245" s="3112"/>
      <c r="B1245" s="3113"/>
      <c r="C1245" s="3114"/>
      <c r="D1245" s="3134"/>
      <c r="E1245" s="2489" t="s">
        <v>604</v>
      </c>
      <c r="F1245" s="2490">
        <f t="shared" si="115"/>
        <v>319175</v>
      </c>
      <c r="G1245" s="2490"/>
      <c r="H1245" s="2490"/>
      <c r="I1245" s="2490">
        <v>319175</v>
      </c>
      <c r="J1245" s="2491"/>
      <c r="K1245" s="2482"/>
    </row>
    <row r="1246" spans="1:11" s="2485" customFormat="1" ht="14.1" customHeight="1">
      <c r="A1246" s="3112"/>
      <c r="B1246" s="3113"/>
      <c r="C1246" s="3114"/>
      <c r="D1246" s="3134"/>
      <c r="E1246" s="2489" t="s">
        <v>605</v>
      </c>
      <c r="F1246" s="2490">
        <f t="shared" si="115"/>
        <v>56325</v>
      </c>
      <c r="G1246" s="2490">
        <v>56325</v>
      </c>
      <c r="H1246" s="2490"/>
      <c r="I1246" s="2490"/>
      <c r="J1246" s="2491"/>
      <c r="K1246" s="2482"/>
    </row>
    <row r="1247" spans="1:11" s="2485" customFormat="1" ht="14.1" customHeight="1">
      <c r="A1247" s="3112"/>
      <c r="B1247" s="3113"/>
      <c r="C1247" s="3114"/>
      <c r="D1247" s="3134"/>
      <c r="E1247" s="2489" t="s">
        <v>746</v>
      </c>
      <c r="F1247" s="2490">
        <f t="shared" si="115"/>
        <v>127500</v>
      </c>
      <c r="G1247" s="2490"/>
      <c r="H1247" s="2490"/>
      <c r="I1247" s="2490">
        <v>127500</v>
      </c>
      <c r="J1247" s="2491"/>
      <c r="K1247" s="2482"/>
    </row>
    <row r="1248" spans="1:11" s="2485" customFormat="1" ht="14.1" customHeight="1">
      <c r="A1248" s="3112"/>
      <c r="B1248" s="3113"/>
      <c r="C1248" s="3114"/>
      <c r="D1248" s="3134"/>
      <c r="E1248" s="2489" t="s">
        <v>747</v>
      </c>
      <c r="F1248" s="2490">
        <f t="shared" si="115"/>
        <v>22500</v>
      </c>
      <c r="G1248" s="2490">
        <v>22500</v>
      </c>
      <c r="H1248" s="2490"/>
      <c r="I1248" s="2490"/>
      <c r="J1248" s="2491"/>
      <c r="K1248" s="2482"/>
    </row>
    <row r="1249" spans="1:226" s="2485" customFormat="1" ht="14.1" customHeight="1">
      <c r="A1249" s="3112"/>
      <c r="B1249" s="3113"/>
      <c r="C1249" s="3114"/>
      <c r="D1249" s="3134"/>
      <c r="E1249" s="2489" t="s">
        <v>606</v>
      </c>
      <c r="F1249" s="2490">
        <f t="shared" si="115"/>
        <v>44965</v>
      </c>
      <c r="G1249" s="2490"/>
      <c r="H1249" s="2490"/>
      <c r="I1249" s="2490">
        <v>44965</v>
      </c>
      <c r="J1249" s="2491"/>
      <c r="K1249" s="2482"/>
    </row>
    <row r="1250" spans="1:226" s="2485" customFormat="1" ht="14.1" customHeight="1">
      <c r="A1250" s="3112"/>
      <c r="B1250" s="3113"/>
      <c r="C1250" s="3114"/>
      <c r="D1250" s="3134"/>
      <c r="E1250" s="2489" t="s">
        <v>607</v>
      </c>
      <c r="F1250" s="2490">
        <f t="shared" si="115"/>
        <v>7935</v>
      </c>
      <c r="G1250" s="2490">
        <v>7935</v>
      </c>
      <c r="H1250" s="2490"/>
      <c r="I1250" s="2490"/>
      <c r="J1250" s="2491"/>
      <c r="K1250" s="2482"/>
    </row>
    <row r="1251" spans="1:226" s="2485" customFormat="1" ht="14.1" customHeight="1">
      <c r="A1251" s="3112"/>
      <c r="B1251" s="3113"/>
      <c r="C1251" s="3114"/>
      <c r="D1251" s="3134"/>
      <c r="E1251" s="2489" t="s">
        <v>748</v>
      </c>
      <c r="F1251" s="2490">
        <f t="shared" si="115"/>
        <v>5457</v>
      </c>
      <c r="G1251" s="2490"/>
      <c r="H1251" s="2490"/>
      <c r="I1251" s="2490">
        <v>5457</v>
      </c>
      <c r="J1251" s="2491"/>
      <c r="K1251" s="2482"/>
    </row>
    <row r="1252" spans="1:226" s="2485" customFormat="1" ht="14.1" customHeight="1">
      <c r="A1252" s="3112"/>
      <c r="B1252" s="3113"/>
      <c r="C1252" s="3114"/>
      <c r="D1252" s="3134"/>
      <c r="E1252" s="2489" t="s">
        <v>749</v>
      </c>
      <c r="F1252" s="2490">
        <f t="shared" si="115"/>
        <v>963</v>
      </c>
      <c r="G1252" s="2490">
        <v>963</v>
      </c>
      <c r="H1252" s="2490"/>
      <c r="I1252" s="2490"/>
      <c r="J1252" s="2491"/>
      <c r="K1252" s="2482"/>
    </row>
    <row r="1253" spans="1:226" s="2485" customFormat="1" ht="14.1" customHeight="1">
      <c r="A1253" s="3112"/>
      <c r="B1253" s="3113"/>
      <c r="C1253" s="3114"/>
      <c r="D1253" s="3134"/>
      <c r="E1253" s="2489" t="s">
        <v>608</v>
      </c>
      <c r="F1253" s="2490">
        <f t="shared" si="115"/>
        <v>393508</v>
      </c>
      <c r="G1253" s="2490"/>
      <c r="H1253" s="2490"/>
      <c r="I1253" s="2490">
        <v>393508</v>
      </c>
      <c r="J1253" s="2491"/>
      <c r="K1253" s="2482"/>
    </row>
    <row r="1254" spans="1:226" s="2485" customFormat="1" ht="14.1" customHeight="1">
      <c r="A1254" s="3112"/>
      <c r="B1254" s="3113"/>
      <c r="C1254" s="3114"/>
      <c r="D1254" s="3134"/>
      <c r="E1254" s="2489" t="s">
        <v>609</v>
      </c>
      <c r="F1254" s="2490">
        <f t="shared" si="115"/>
        <v>69442</v>
      </c>
      <c r="G1254" s="2490">
        <v>69442</v>
      </c>
      <c r="H1254" s="2490"/>
      <c r="I1254" s="2490"/>
      <c r="J1254" s="2491"/>
      <c r="K1254" s="2482"/>
    </row>
    <row r="1255" spans="1:226" s="2485" customFormat="1" ht="14.1" customHeight="1">
      <c r="A1255" s="3112"/>
      <c r="B1255" s="3113"/>
      <c r="C1255" s="3114"/>
      <c r="D1255" s="3134"/>
      <c r="E1255" s="2489" t="s">
        <v>750</v>
      </c>
      <c r="F1255" s="2490">
        <f t="shared" si="115"/>
        <v>19380</v>
      </c>
      <c r="G1255" s="2490"/>
      <c r="H1255" s="2490"/>
      <c r="I1255" s="2490">
        <v>19380</v>
      </c>
      <c r="J1255" s="2491"/>
      <c r="K1255" s="2482"/>
    </row>
    <row r="1256" spans="1:226" s="2485" customFormat="1" ht="14.1" customHeight="1">
      <c r="A1256" s="3112"/>
      <c r="B1256" s="3113"/>
      <c r="C1256" s="3114"/>
      <c r="D1256" s="3134"/>
      <c r="E1256" s="2489" t="s">
        <v>774</v>
      </c>
      <c r="F1256" s="2490">
        <f t="shared" si="115"/>
        <v>3420</v>
      </c>
      <c r="G1256" s="2490">
        <v>3420</v>
      </c>
      <c r="H1256" s="2490"/>
      <c r="I1256" s="2490"/>
      <c r="J1256" s="2491"/>
      <c r="K1256" s="2482"/>
    </row>
    <row r="1257" spans="1:226" s="2485" customFormat="1" ht="14.1" customHeight="1">
      <c r="A1257" s="3112"/>
      <c r="B1257" s="3113"/>
      <c r="C1257" s="3114"/>
      <c r="D1257" s="3134"/>
      <c r="E1257" s="2489" t="s">
        <v>728</v>
      </c>
      <c r="F1257" s="2490">
        <f t="shared" si="115"/>
        <v>1020</v>
      </c>
      <c r="G1257" s="2490"/>
      <c r="H1257" s="2490"/>
      <c r="I1257" s="2490">
        <v>1020</v>
      </c>
      <c r="J1257" s="2491"/>
      <c r="K1257" s="2482"/>
    </row>
    <row r="1258" spans="1:226" s="2485" customFormat="1" ht="14.1" customHeight="1">
      <c r="A1258" s="3112"/>
      <c r="B1258" s="3113"/>
      <c r="C1258" s="3114"/>
      <c r="D1258" s="3134"/>
      <c r="E1258" s="2489" t="s">
        <v>700</v>
      </c>
      <c r="F1258" s="2490">
        <f t="shared" si="115"/>
        <v>180</v>
      </c>
      <c r="G1258" s="2490">
        <v>180</v>
      </c>
      <c r="H1258" s="2490"/>
      <c r="I1258" s="2490"/>
      <c r="J1258" s="2491"/>
      <c r="K1258" s="2482"/>
    </row>
    <row r="1259" spans="1:226" s="2485" customFormat="1" ht="14.1" customHeight="1">
      <c r="A1259" s="3112"/>
      <c r="B1259" s="3113"/>
      <c r="C1259" s="3114"/>
      <c r="D1259" s="3134"/>
      <c r="E1259" s="2489" t="s">
        <v>752</v>
      </c>
      <c r="F1259" s="2490">
        <f t="shared" si="115"/>
        <v>17000</v>
      </c>
      <c r="G1259" s="2490"/>
      <c r="H1259" s="2490"/>
      <c r="I1259" s="2490">
        <v>17000</v>
      </c>
      <c r="J1259" s="2491"/>
      <c r="K1259" s="2482"/>
      <c r="L1259" s="2484"/>
      <c r="M1259" s="2484"/>
      <c r="N1259" s="2484"/>
      <c r="O1259" s="2484"/>
      <c r="P1259" s="2484"/>
      <c r="Q1259" s="2484"/>
      <c r="R1259" s="2484"/>
      <c r="S1259" s="2484"/>
      <c r="T1259" s="2484"/>
      <c r="U1259" s="2484"/>
      <c r="V1259" s="2484"/>
      <c r="W1259" s="2484"/>
      <c r="X1259" s="2484"/>
      <c r="Y1259" s="2484"/>
      <c r="Z1259" s="2484"/>
      <c r="AA1259" s="2484"/>
      <c r="AB1259" s="2484"/>
      <c r="AC1259" s="2484"/>
      <c r="AD1259" s="2484"/>
      <c r="AE1259" s="2484"/>
      <c r="AF1259" s="2484"/>
      <c r="AG1259" s="2484"/>
      <c r="AH1259" s="2484"/>
      <c r="AI1259" s="2484"/>
      <c r="AJ1259" s="2484"/>
      <c r="AK1259" s="2484"/>
      <c r="AL1259" s="2484"/>
      <c r="AM1259" s="2484"/>
      <c r="AN1259" s="2484"/>
      <c r="AO1259" s="2484"/>
      <c r="AP1259" s="2484"/>
      <c r="AQ1259" s="2484"/>
      <c r="AR1259" s="2484"/>
      <c r="AS1259" s="2484"/>
      <c r="AT1259" s="2484"/>
      <c r="AU1259" s="2484"/>
      <c r="AV1259" s="2484"/>
      <c r="AW1259" s="2484"/>
      <c r="AX1259" s="2484"/>
      <c r="AY1259" s="2484"/>
      <c r="AZ1259" s="2484"/>
      <c r="BA1259" s="2484"/>
      <c r="BB1259" s="2484"/>
      <c r="BC1259" s="2484"/>
      <c r="BD1259" s="2484"/>
      <c r="BE1259" s="2484"/>
      <c r="BF1259" s="2484"/>
      <c r="BG1259" s="2484"/>
      <c r="BH1259" s="2484"/>
      <c r="BI1259" s="2484"/>
      <c r="BJ1259" s="2484"/>
      <c r="BK1259" s="2484"/>
      <c r="BL1259" s="2484"/>
      <c r="BM1259" s="2484"/>
      <c r="BN1259" s="2484"/>
      <c r="BO1259" s="2484"/>
      <c r="BP1259" s="2484"/>
      <c r="BQ1259" s="2484"/>
      <c r="BR1259" s="2484"/>
      <c r="BS1259" s="2484"/>
      <c r="BT1259" s="2484"/>
      <c r="BU1259" s="2484"/>
      <c r="BV1259" s="2484"/>
      <c r="BW1259" s="2484"/>
      <c r="BX1259" s="2484"/>
      <c r="BY1259" s="2484"/>
      <c r="BZ1259" s="2484"/>
      <c r="CA1259" s="2484"/>
      <c r="CB1259" s="2484"/>
      <c r="CC1259" s="2484"/>
      <c r="CD1259" s="2484"/>
      <c r="CE1259" s="2484"/>
      <c r="CF1259" s="2484"/>
      <c r="CG1259" s="2484"/>
      <c r="CH1259" s="2484"/>
      <c r="CI1259" s="2484"/>
      <c r="CJ1259" s="2484"/>
      <c r="CK1259" s="2484"/>
      <c r="CL1259" s="2484"/>
      <c r="CM1259" s="2484"/>
      <c r="CN1259" s="2484"/>
      <c r="CO1259" s="2484"/>
      <c r="CP1259" s="2484"/>
      <c r="CQ1259" s="2484"/>
      <c r="CR1259" s="2484"/>
      <c r="CS1259" s="2484"/>
      <c r="CT1259" s="2484"/>
      <c r="CU1259" s="2484"/>
      <c r="CV1259" s="2484"/>
      <c r="CW1259" s="2484"/>
      <c r="CX1259" s="2484"/>
      <c r="CY1259" s="2484"/>
      <c r="CZ1259" s="2484"/>
      <c r="DA1259" s="2484"/>
      <c r="DB1259" s="2484"/>
      <c r="DC1259" s="2484"/>
      <c r="DD1259" s="2484"/>
      <c r="DE1259" s="2484"/>
      <c r="DF1259" s="2484"/>
      <c r="DG1259" s="2484"/>
      <c r="DH1259" s="2484"/>
      <c r="DI1259" s="2484"/>
      <c r="DJ1259" s="2484"/>
      <c r="DK1259" s="2484"/>
      <c r="DL1259" s="2484"/>
      <c r="DM1259" s="2484"/>
      <c r="DN1259" s="2484"/>
      <c r="DO1259" s="2484"/>
      <c r="DP1259" s="2484"/>
      <c r="DQ1259" s="2484"/>
      <c r="DR1259" s="2484"/>
      <c r="DS1259" s="2484"/>
      <c r="DT1259" s="2484"/>
      <c r="DU1259" s="2484"/>
      <c r="DV1259" s="2484"/>
      <c r="DW1259" s="2484"/>
      <c r="DX1259" s="2484"/>
      <c r="DY1259" s="2484"/>
      <c r="DZ1259" s="2484"/>
      <c r="EA1259" s="2484"/>
      <c r="EB1259" s="2484"/>
      <c r="EC1259" s="2484"/>
      <c r="ED1259" s="2484"/>
      <c r="EE1259" s="2484"/>
      <c r="EF1259" s="2484"/>
      <c r="EG1259" s="2484"/>
      <c r="EH1259" s="2484"/>
      <c r="EI1259" s="2484"/>
      <c r="EJ1259" s="2484"/>
      <c r="EK1259" s="2484"/>
      <c r="EL1259" s="2484"/>
      <c r="EM1259" s="2484"/>
      <c r="EN1259" s="2484"/>
      <c r="EO1259" s="2484"/>
      <c r="EP1259" s="2484"/>
      <c r="EQ1259" s="2484"/>
      <c r="ER1259" s="2484"/>
      <c r="ES1259" s="2484"/>
      <c r="ET1259" s="2484"/>
      <c r="EU1259" s="2484"/>
      <c r="EV1259" s="2484"/>
      <c r="EW1259" s="2484"/>
      <c r="EX1259" s="2484"/>
      <c r="EY1259" s="2484"/>
      <c r="EZ1259" s="2484"/>
      <c r="FA1259" s="2484"/>
      <c r="FB1259" s="2484"/>
      <c r="FC1259" s="2484"/>
      <c r="FD1259" s="2484"/>
      <c r="FE1259" s="2484"/>
      <c r="FF1259" s="2484"/>
      <c r="FG1259" s="2484"/>
      <c r="FH1259" s="2484"/>
      <c r="FI1259" s="2484"/>
      <c r="FJ1259" s="2484"/>
      <c r="FK1259" s="2484"/>
      <c r="FL1259" s="2484"/>
      <c r="FM1259" s="2484"/>
      <c r="FN1259" s="2484"/>
      <c r="FO1259" s="2484"/>
      <c r="FP1259" s="2484"/>
      <c r="FQ1259" s="2484"/>
      <c r="FR1259" s="2484"/>
      <c r="FS1259" s="2484"/>
      <c r="FT1259" s="2484"/>
      <c r="FU1259" s="2484"/>
      <c r="FV1259" s="2484"/>
      <c r="FW1259" s="2484"/>
      <c r="FX1259" s="2484"/>
      <c r="FY1259" s="2484"/>
      <c r="FZ1259" s="2484"/>
      <c r="GA1259" s="2484"/>
      <c r="GB1259" s="2484"/>
      <c r="GC1259" s="2484"/>
      <c r="GD1259" s="2484"/>
      <c r="GE1259" s="2484"/>
      <c r="GF1259" s="2484"/>
      <c r="GG1259" s="2484"/>
      <c r="GH1259" s="2484"/>
      <c r="GI1259" s="2484"/>
      <c r="GJ1259" s="2484"/>
      <c r="GK1259" s="2484"/>
      <c r="GL1259" s="2484"/>
      <c r="GM1259" s="2484"/>
      <c r="GN1259" s="2484"/>
      <c r="GO1259" s="2484"/>
      <c r="GP1259" s="2484"/>
      <c r="GQ1259" s="2484"/>
      <c r="GR1259" s="2484"/>
      <c r="GS1259" s="2484"/>
      <c r="GT1259" s="2484"/>
      <c r="GU1259" s="2484"/>
      <c r="GV1259" s="2484"/>
      <c r="GW1259" s="2484"/>
      <c r="GX1259" s="2484"/>
      <c r="GY1259" s="2484"/>
      <c r="GZ1259" s="2484"/>
      <c r="HA1259" s="2484"/>
      <c r="HB1259" s="2484"/>
      <c r="HC1259" s="2484"/>
      <c r="HD1259" s="2484"/>
      <c r="HE1259" s="2484"/>
      <c r="HF1259" s="2484"/>
      <c r="HG1259" s="2484"/>
      <c r="HH1259" s="2484"/>
      <c r="HI1259" s="2484"/>
      <c r="HJ1259" s="2484"/>
      <c r="HK1259" s="2484"/>
      <c r="HL1259" s="2484"/>
      <c r="HM1259" s="2484"/>
      <c r="HN1259" s="2484"/>
      <c r="HO1259" s="2484"/>
      <c r="HP1259" s="2484"/>
      <c r="HQ1259" s="2484"/>
      <c r="HR1259" s="2484"/>
    </row>
    <row r="1260" spans="1:226" s="2485" customFormat="1" ht="14.1" customHeight="1">
      <c r="A1260" s="3112"/>
      <c r="B1260" s="3113"/>
      <c r="C1260" s="3114"/>
      <c r="D1260" s="3134"/>
      <c r="E1260" s="2489" t="s">
        <v>753</v>
      </c>
      <c r="F1260" s="2490">
        <f t="shared" si="115"/>
        <v>3000</v>
      </c>
      <c r="G1260" s="2490">
        <v>3000</v>
      </c>
      <c r="H1260" s="2490"/>
      <c r="I1260" s="2490"/>
      <c r="J1260" s="2491"/>
      <c r="K1260" s="2482"/>
    </row>
    <row r="1261" spans="1:226" s="2485" customFormat="1" ht="14.1" customHeight="1">
      <c r="A1261" s="3112"/>
      <c r="B1261" s="3113"/>
      <c r="C1261" s="3114"/>
      <c r="D1261" s="3134"/>
      <c r="E1261" s="2489" t="s">
        <v>612</v>
      </c>
      <c r="F1261" s="2490">
        <f t="shared" si="115"/>
        <v>52700</v>
      </c>
      <c r="G1261" s="2490"/>
      <c r="H1261" s="2490"/>
      <c r="I1261" s="2490">
        <v>52700</v>
      </c>
      <c r="J1261" s="2491"/>
      <c r="K1261" s="2482"/>
    </row>
    <row r="1262" spans="1:226" s="2485" customFormat="1" ht="14.1" customHeight="1">
      <c r="A1262" s="3112"/>
      <c r="B1262" s="3113"/>
      <c r="C1262" s="3114"/>
      <c r="D1262" s="3134"/>
      <c r="E1262" s="2489" t="s">
        <v>613</v>
      </c>
      <c r="F1262" s="2490">
        <f t="shared" si="115"/>
        <v>9300</v>
      </c>
      <c r="G1262" s="2490">
        <v>9300</v>
      </c>
      <c r="H1262" s="2490"/>
      <c r="I1262" s="2490"/>
      <c r="J1262" s="2491"/>
      <c r="K1262" s="2482"/>
    </row>
    <row r="1263" spans="1:226" s="2485" customFormat="1" ht="14.1" customHeight="1">
      <c r="A1263" s="3112"/>
      <c r="B1263" s="3113"/>
      <c r="C1263" s="3114"/>
      <c r="D1263" s="3134"/>
      <c r="E1263" s="2489" t="s">
        <v>754</v>
      </c>
      <c r="F1263" s="2490">
        <f t="shared" si="115"/>
        <v>4250</v>
      </c>
      <c r="G1263" s="2490"/>
      <c r="H1263" s="2490"/>
      <c r="I1263" s="2490">
        <v>4250</v>
      </c>
      <c r="J1263" s="2491"/>
      <c r="K1263" s="2482"/>
    </row>
    <row r="1264" spans="1:226" s="2485" customFormat="1" ht="14.1" customHeight="1">
      <c r="A1264" s="3112"/>
      <c r="B1264" s="3113"/>
      <c r="C1264" s="3114"/>
      <c r="D1264" s="3134"/>
      <c r="E1264" s="2489" t="s">
        <v>755</v>
      </c>
      <c r="F1264" s="2490">
        <f t="shared" si="115"/>
        <v>750</v>
      </c>
      <c r="G1264" s="2490">
        <v>750</v>
      </c>
      <c r="H1264" s="2490"/>
      <c r="I1264" s="2490"/>
      <c r="J1264" s="2491"/>
      <c r="K1264" s="2482"/>
    </row>
    <row r="1265" spans="1:11" s="2485" customFormat="1" ht="14.1" customHeight="1">
      <c r="A1265" s="3112"/>
      <c r="B1265" s="3113"/>
      <c r="C1265" s="3114"/>
      <c r="D1265" s="3134"/>
      <c r="E1265" s="2489" t="s">
        <v>756</v>
      </c>
      <c r="F1265" s="2490">
        <f t="shared" si="115"/>
        <v>5525</v>
      </c>
      <c r="G1265" s="2490"/>
      <c r="H1265" s="2490"/>
      <c r="I1265" s="2490">
        <v>5525</v>
      </c>
      <c r="J1265" s="2491"/>
      <c r="K1265" s="2482"/>
    </row>
    <row r="1266" spans="1:11" s="2485" customFormat="1" ht="14.1" customHeight="1">
      <c r="A1266" s="3112"/>
      <c r="B1266" s="3113"/>
      <c r="C1266" s="3114"/>
      <c r="D1266" s="3134"/>
      <c r="E1266" s="2489" t="s">
        <v>757</v>
      </c>
      <c r="F1266" s="2490">
        <f t="shared" si="115"/>
        <v>975</v>
      </c>
      <c r="G1266" s="2490">
        <v>975</v>
      </c>
      <c r="H1266" s="2490"/>
      <c r="I1266" s="2490"/>
      <c r="J1266" s="2491"/>
      <c r="K1266" s="2482"/>
    </row>
    <row r="1267" spans="1:11" s="2485" customFormat="1" ht="14.1" customHeight="1">
      <c r="A1267" s="3112"/>
      <c r="B1267" s="3113"/>
      <c r="C1267" s="3114"/>
      <c r="D1267" s="3134"/>
      <c r="E1267" s="2489" t="s">
        <v>616</v>
      </c>
      <c r="F1267" s="2490">
        <f t="shared" si="115"/>
        <v>174250</v>
      </c>
      <c r="G1267" s="2490"/>
      <c r="H1267" s="2490"/>
      <c r="I1267" s="2490">
        <v>174250</v>
      </c>
      <c r="J1267" s="2491"/>
      <c r="K1267" s="2482"/>
    </row>
    <row r="1268" spans="1:11" s="2485" customFormat="1" ht="14.1" customHeight="1">
      <c r="A1268" s="3112"/>
      <c r="B1268" s="3113"/>
      <c r="C1268" s="3114"/>
      <c r="D1268" s="3134"/>
      <c r="E1268" s="2489" t="s">
        <v>617</v>
      </c>
      <c r="F1268" s="2490">
        <f t="shared" si="115"/>
        <v>30750</v>
      </c>
      <c r="G1268" s="2490">
        <v>30750</v>
      </c>
      <c r="H1268" s="2490"/>
      <c r="I1268" s="2490"/>
      <c r="J1268" s="2491"/>
      <c r="K1268" s="2482"/>
    </row>
    <row r="1269" spans="1:11" s="2485" customFormat="1" ht="12">
      <c r="A1269" s="3112"/>
      <c r="B1269" s="3113"/>
      <c r="C1269" s="3114"/>
      <c r="D1269" s="3134"/>
      <c r="E1269" s="2492" t="s">
        <v>1087</v>
      </c>
      <c r="F1269" s="2487">
        <f>SUM(F1270:F1271)</f>
        <v>30000</v>
      </c>
      <c r="G1269" s="2487">
        <f>SUM(G1270:G1271)</f>
        <v>4500</v>
      </c>
      <c r="H1269" s="2487">
        <f>SUM(H1270:H1271)</f>
        <v>0</v>
      </c>
      <c r="I1269" s="2487">
        <f>SUM(I1270:I1271)</f>
        <v>25500</v>
      </c>
      <c r="J1269" s="2488">
        <f>SUM(J1270:J1271)</f>
        <v>0</v>
      </c>
      <c r="K1269" s="2482"/>
    </row>
    <row r="1270" spans="1:11" s="2485" customFormat="1" ht="14.1" customHeight="1">
      <c r="A1270" s="3112"/>
      <c r="B1270" s="3113"/>
      <c r="C1270" s="3114"/>
      <c r="D1270" s="3134"/>
      <c r="E1270" s="2489" t="s">
        <v>691</v>
      </c>
      <c r="F1270" s="2490">
        <f t="shared" ref="F1270" si="116">SUM(G1270:J1270)</f>
        <v>25500</v>
      </c>
      <c r="G1270" s="2490"/>
      <c r="H1270" s="2490"/>
      <c r="I1270" s="2490">
        <v>25500</v>
      </c>
      <c r="J1270" s="2491"/>
      <c r="K1270" s="2482"/>
    </row>
    <row r="1271" spans="1:11" s="2485" customFormat="1" ht="14.1" customHeight="1">
      <c r="A1271" s="3112"/>
      <c r="B1271" s="3113"/>
      <c r="C1271" s="3114"/>
      <c r="D1271" s="3134"/>
      <c r="E1271" s="2503">
        <v>6069</v>
      </c>
      <c r="F1271" s="2490">
        <f>SUM(G1271:J1271)</f>
        <v>4500</v>
      </c>
      <c r="G1271" s="2490">
        <v>4500</v>
      </c>
      <c r="H1271" s="2490"/>
      <c r="I1271" s="2490"/>
      <c r="J1271" s="2491"/>
      <c r="K1271" s="2482"/>
    </row>
    <row r="1272" spans="1:11" s="2523" customFormat="1" ht="30" customHeight="1">
      <c r="A1272" s="2476" t="s">
        <v>1198</v>
      </c>
      <c r="B1272" s="3108" t="s">
        <v>1199</v>
      </c>
      <c r="C1272" s="3108"/>
      <c r="D1272" s="3108"/>
      <c r="E1272" s="3108"/>
      <c r="F1272" s="2525">
        <f>F1274+F1296+F1316+F1339+F1383</f>
        <v>6120977</v>
      </c>
      <c r="G1272" s="2525">
        <f t="shared" ref="G1272:J1272" si="117">G1274+G1296+G1316+G1339+G1383</f>
        <v>259012</v>
      </c>
      <c r="H1272" s="2525">
        <f t="shared" si="117"/>
        <v>5056451</v>
      </c>
      <c r="I1272" s="2525">
        <f t="shared" si="117"/>
        <v>805514</v>
      </c>
      <c r="J1272" s="2527">
        <f t="shared" si="117"/>
        <v>0</v>
      </c>
      <c r="K1272" s="2482"/>
    </row>
    <row r="1273" spans="1:11" s="2485" customFormat="1" ht="15" customHeight="1">
      <c r="A1273" s="3109"/>
      <c r="B1273" s="3110"/>
      <c r="C1273" s="3110"/>
      <c r="D1273" s="3110"/>
      <c r="E1273" s="3110"/>
      <c r="F1273" s="3110"/>
      <c r="G1273" s="3110"/>
      <c r="H1273" s="3110"/>
      <c r="I1273" s="3110"/>
      <c r="J1273" s="3111"/>
      <c r="K1273" s="2482"/>
    </row>
    <row r="1274" spans="1:11" s="2485" customFormat="1" ht="22.5" customHeight="1">
      <c r="A1274" s="3139" t="s">
        <v>1084</v>
      </c>
      <c r="B1274" s="3148" t="s">
        <v>1200</v>
      </c>
      <c r="C1274" s="3115">
        <v>852</v>
      </c>
      <c r="D1274" s="3117" t="s">
        <v>896</v>
      </c>
      <c r="E1274" s="2479" t="s">
        <v>1086</v>
      </c>
      <c r="F1274" s="2480">
        <f>SUM(F1275,F1293)</f>
        <v>720000</v>
      </c>
      <c r="G1274" s="2480">
        <f>SUM(G1275,G1293)</f>
        <v>108000</v>
      </c>
      <c r="H1274" s="2480">
        <f>SUM(H1275,H1293)</f>
        <v>612000</v>
      </c>
      <c r="I1274" s="2480">
        <f>SUM(I1275,I1293)</f>
        <v>0</v>
      </c>
      <c r="J1274" s="2481">
        <f>SUM(J1275,J1293)</f>
        <v>0</v>
      </c>
      <c r="K1274" s="2482"/>
    </row>
    <row r="1275" spans="1:11" s="2485" customFormat="1" ht="21">
      <c r="A1275" s="3140"/>
      <c r="B1275" s="3149"/>
      <c r="C1275" s="3145"/>
      <c r="D1275" s="3146"/>
      <c r="E1275" s="2486" t="s">
        <v>1092</v>
      </c>
      <c r="F1275" s="2487">
        <f>SUM(F1276,F1286)</f>
        <v>720000</v>
      </c>
      <c r="G1275" s="2487">
        <f>SUM(G1276,G1286)</f>
        <v>108000</v>
      </c>
      <c r="H1275" s="2487">
        <f>SUM(H1276,H1286)</f>
        <v>612000</v>
      </c>
      <c r="I1275" s="2487">
        <f>SUM(I1276,I1286)</f>
        <v>0</v>
      </c>
      <c r="J1275" s="2488">
        <f>SUM(J1276,J1286)</f>
        <v>0</v>
      </c>
      <c r="K1275" s="2482"/>
    </row>
    <row r="1276" spans="1:11" s="2485" customFormat="1" ht="22.5">
      <c r="A1276" s="3140"/>
      <c r="B1276" s="3149"/>
      <c r="C1276" s="3145"/>
      <c r="D1276" s="3146"/>
      <c r="E1276" s="2497" t="s">
        <v>1093</v>
      </c>
      <c r="F1276" s="2498">
        <f>SUM(F1277:F1285)</f>
        <v>360050</v>
      </c>
      <c r="G1276" s="2498">
        <f>SUM(G1277:G1285)</f>
        <v>103000</v>
      </c>
      <c r="H1276" s="2498">
        <f>SUM(H1277:H1285)</f>
        <v>257050</v>
      </c>
      <c r="I1276" s="2498">
        <f>SUM(I1277:I1285)</f>
        <v>0</v>
      </c>
      <c r="J1276" s="2499">
        <f>SUM(J1277:J1285)</f>
        <v>0</v>
      </c>
      <c r="K1276" s="2482"/>
    </row>
    <row r="1277" spans="1:11" s="2485" customFormat="1" ht="15" customHeight="1">
      <c r="A1277" s="3140"/>
      <c r="B1277" s="3149"/>
      <c r="C1277" s="3145"/>
      <c r="D1277" s="3146"/>
      <c r="E1277" s="2489" t="s">
        <v>647</v>
      </c>
      <c r="F1277" s="2490">
        <f t="shared" ref="F1277:F1285" si="118">SUM(G1277:J1277)</f>
        <v>178763</v>
      </c>
      <c r="G1277" s="2490"/>
      <c r="H1277" s="2490">
        <v>178763</v>
      </c>
      <c r="I1277" s="2490"/>
      <c r="J1277" s="2491"/>
      <c r="K1277" s="2482"/>
    </row>
    <row r="1278" spans="1:11" s="2485" customFormat="1" ht="15" customHeight="1">
      <c r="A1278" s="3140"/>
      <c r="B1278" s="3149"/>
      <c r="C1278" s="3145"/>
      <c r="D1278" s="3146"/>
      <c r="E1278" s="2489" t="s">
        <v>592</v>
      </c>
      <c r="F1278" s="2490">
        <f t="shared" si="118"/>
        <v>86280</v>
      </c>
      <c r="G1278" s="2490">
        <v>86280</v>
      </c>
      <c r="H1278" s="2490"/>
      <c r="I1278" s="2490"/>
      <c r="J1278" s="2491"/>
      <c r="K1278" s="2482"/>
    </row>
    <row r="1279" spans="1:11" s="2485" customFormat="1" ht="15" customHeight="1">
      <c r="A1279" s="3140"/>
      <c r="B1279" s="3149"/>
      <c r="C1279" s="3145"/>
      <c r="D1279" s="3146"/>
      <c r="E1279" s="2489" t="s">
        <v>648</v>
      </c>
      <c r="F1279" s="2490">
        <f t="shared" si="118"/>
        <v>32537</v>
      </c>
      <c r="G1279" s="2490"/>
      <c r="H1279" s="2490">
        <v>32537</v>
      </c>
      <c r="I1279" s="2490"/>
      <c r="J1279" s="2491"/>
      <c r="K1279" s="2482"/>
    </row>
    <row r="1280" spans="1:11" s="2485" customFormat="1" ht="15" customHeight="1">
      <c r="A1280" s="3140"/>
      <c r="B1280" s="3149"/>
      <c r="C1280" s="3145"/>
      <c r="D1280" s="3146"/>
      <c r="E1280" s="2489" t="s">
        <v>649</v>
      </c>
      <c r="F1280" s="2490">
        <f t="shared" si="118"/>
        <v>35773</v>
      </c>
      <c r="G1280" s="2490"/>
      <c r="H1280" s="2490">
        <v>35773</v>
      </c>
      <c r="I1280" s="2490"/>
      <c r="J1280" s="2491"/>
      <c r="K1280" s="2482"/>
    </row>
    <row r="1281" spans="1:226" s="2485" customFormat="1" ht="15" customHeight="1">
      <c r="A1281" s="3140"/>
      <c r="B1281" s="3149"/>
      <c r="C1281" s="3145"/>
      <c r="D1281" s="3146"/>
      <c r="E1281" s="2489" t="s">
        <v>596</v>
      </c>
      <c r="F1281" s="2490">
        <f t="shared" si="118"/>
        <v>14607</v>
      </c>
      <c r="G1281" s="2490">
        <v>14607</v>
      </c>
      <c r="H1281" s="2490"/>
      <c r="I1281" s="2490"/>
      <c r="J1281" s="2491"/>
      <c r="K1281" s="2482"/>
    </row>
    <row r="1282" spans="1:226" s="2485" customFormat="1" ht="15" customHeight="1">
      <c r="A1282" s="3140"/>
      <c r="B1282" s="3149"/>
      <c r="C1282" s="3145"/>
      <c r="D1282" s="3146"/>
      <c r="E1282" s="2489" t="s">
        <v>650</v>
      </c>
      <c r="F1282" s="2490">
        <f t="shared" si="118"/>
        <v>5177</v>
      </c>
      <c r="G1282" s="2490"/>
      <c r="H1282" s="2490">
        <v>5177</v>
      </c>
      <c r="I1282" s="2490"/>
      <c r="J1282" s="2491"/>
      <c r="K1282" s="2482"/>
    </row>
    <row r="1283" spans="1:226" s="2485" customFormat="1" ht="15" customHeight="1">
      <c r="A1283" s="3140"/>
      <c r="B1283" s="3149"/>
      <c r="C1283" s="3145"/>
      <c r="D1283" s="3146"/>
      <c r="E1283" s="2489" t="s">
        <v>598</v>
      </c>
      <c r="F1283" s="2490">
        <f t="shared" si="118"/>
        <v>2113</v>
      </c>
      <c r="G1283" s="2490">
        <v>2113</v>
      </c>
      <c r="H1283" s="2490"/>
      <c r="I1283" s="2490"/>
      <c r="J1283" s="2491"/>
      <c r="K1283" s="2482"/>
    </row>
    <row r="1284" spans="1:226" s="2485" customFormat="1" ht="15" customHeight="1">
      <c r="A1284" s="3140"/>
      <c r="B1284" s="3149"/>
      <c r="C1284" s="3145"/>
      <c r="D1284" s="3146"/>
      <c r="E1284" s="2489" t="s">
        <v>726</v>
      </c>
      <c r="F1284" s="2490">
        <f t="shared" si="118"/>
        <v>4800</v>
      </c>
      <c r="G1284" s="2490"/>
      <c r="H1284" s="2490">
        <v>4800</v>
      </c>
      <c r="I1284" s="2490"/>
      <c r="J1284" s="2491"/>
      <c r="K1284" s="2482"/>
      <c r="L1284" s="2484"/>
      <c r="M1284" s="2484"/>
      <c r="N1284" s="2484"/>
      <c r="O1284" s="2484"/>
      <c r="P1284" s="2484"/>
      <c r="Q1284" s="2484"/>
      <c r="R1284" s="2484"/>
      <c r="S1284" s="2484"/>
      <c r="T1284" s="2484"/>
      <c r="U1284" s="2484"/>
      <c r="V1284" s="2484"/>
      <c r="W1284" s="2484"/>
      <c r="X1284" s="2484"/>
      <c r="Y1284" s="2484"/>
      <c r="Z1284" s="2484"/>
      <c r="AA1284" s="2484"/>
      <c r="AB1284" s="2484"/>
      <c r="AC1284" s="2484"/>
      <c r="AD1284" s="2484"/>
      <c r="AE1284" s="2484"/>
      <c r="AF1284" s="2484"/>
      <c r="AG1284" s="2484"/>
      <c r="AH1284" s="2484"/>
      <c r="AI1284" s="2484"/>
      <c r="AJ1284" s="2484"/>
      <c r="AK1284" s="2484"/>
      <c r="AL1284" s="2484"/>
      <c r="AM1284" s="2484"/>
      <c r="AN1284" s="2484"/>
      <c r="AO1284" s="2484"/>
      <c r="AP1284" s="2484"/>
      <c r="AQ1284" s="2484"/>
      <c r="AR1284" s="2484"/>
      <c r="AS1284" s="2484"/>
      <c r="AT1284" s="2484"/>
      <c r="AU1284" s="2484"/>
      <c r="AV1284" s="2484"/>
      <c r="AW1284" s="2484"/>
      <c r="AX1284" s="2484"/>
      <c r="AY1284" s="2484"/>
      <c r="AZ1284" s="2484"/>
      <c r="BA1284" s="2484"/>
      <c r="BB1284" s="2484"/>
      <c r="BC1284" s="2484"/>
      <c r="BD1284" s="2484"/>
      <c r="BE1284" s="2484"/>
      <c r="BF1284" s="2484"/>
      <c r="BG1284" s="2484"/>
      <c r="BH1284" s="2484"/>
      <c r="BI1284" s="2484"/>
      <c r="BJ1284" s="2484"/>
      <c r="BK1284" s="2484"/>
      <c r="BL1284" s="2484"/>
      <c r="BM1284" s="2484"/>
      <c r="BN1284" s="2484"/>
      <c r="BO1284" s="2484"/>
      <c r="BP1284" s="2484"/>
      <c r="BQ1284" s="2484"/>
      <c r="BR1284" s="2484"/>
      <c r="BS1284" s="2484"/>
      <c r="BT1284" s="2484"/>
      <c r="BU1284" s="2484"/>
      <c r="BV1284" s="2484"/>
      <c r="BW1284" s="2484"/>
      <c r="BX1284" s="2484"/>
      <c r="BY1284" s="2484"/>
      <c r="BZ1284" s="2484"/>
      <c r="CA1284" s="2484"/>
      <c r="CB1284" s="2484"/>
      <c r="CC1284" s="2484"/>
      <c r="CD1284" s="2484"/>
      <c r="CE1284" s="2484"/>
      <c r="CF1284" s="2484"/>
      <c r="CG1284" s="2484"/>
      <c r="CH1284" s="2484"/>
      <c r="CI1284" s="2484"/>
      <c r="CJ1284" s="2484"/>
      <c r="CK1284" s="2484"/>
      <c r="CL1284" s="2484"/>
      <c r="CM1284" s="2484"/>
      <c r="CN1284" s="2484"/>
      <c r="CO1284" s="2484"/>
      <c r="CP1284" s="2484"/>
      <c r="CQ1284" s="2484"/>
      <c r="CR1284" s="2484"/>
      <c r="CS1284" s="2484"/>
      <c r="CT1284" s="2484"/>
      <c r="CU1284" s="2484"/>
      <c r="CV1284" s="2484"/>
      <c r="CW1284" s="2484"/>
      <c r="CX1284" s="2484"/>
      <c r="CY1284" s="2484"/>
      <c r="CZ1284" s="2484"/>
      <c r="DA1284" s="2484"/>
      <c r="DB1284" s="2484"/>
      <c r="DC1284" s="2484"/>
      <c r="DD1284" s="2484"/>
      <c r="DE1284" s="2484"/>
      <c r="DF1284" s="2484"/>
      <c r="DG1284" s="2484"/>
      <c r="DH1284" s="2484"/>
      <c r="DI1284" s="2484"/>
      <c r="DJ1284" s="2484"/>
      <c r="DK1284" s="2484"/>
      <c r="DL1284" s="2484"/>
      <c r="DM1284" s="2484"/>
      <c r="DN1284" s="2484"/>
      <c r="DO1284" s="2484"/>
      <c r="DP1284" s="2484"/>
      <c r="DQ1284" s="2484"/>
      <c r="DR1284" s="2484"/>
      <c r="DS1284" s="2484"/>
      <c r="DT1284" s="2484"/>
      <c r="DU1284" s="2484"/>
      <c r="DV1284" s="2484"/>
      <c r="DW1284" s="2484"/>
      <c r="DX1284" s="2484"/>
      <c r="DY1284" s="2484"/>
      <c r="DZ1284" s="2484"/>
      <c r="EA1284" s="2484"/>
      <c r="EB1284" s="2484"/>
      <c r="EC1284" s="2484"/>
      <c r="ED1284" s="2484"/>
      <c r="EE1284" s="2484"/>
      <c r="EF1284" s="2484"/>
      <c r="EG1284" s="2484"/>
      <c r="EH1284" s="2484"/>
      <c r="EI1284" s="2484"/>
      <c r="EJ1284" s="2484"/>
      <c r="EK1284" s="2484"/>
      <c r="EL1284" s="2484"/>
      <c r="EM1284" s="2484"/>
      <c r="EN1284" s="2484"/>
      <c r="EO1284" s="2484"/>
      <c r="EP1284" s="2484"/>
      <c r="EQ1284" s="2484"/>
      <c r="ER1284" s="2484"/>
      <c r="ES1284" s="2484"/>
      <c r="ET1284" s="2484"/>
      <c r="EU1284" s="2484"/>
      <c r="EV1284" s="2484"/>
      <c r="EW1284" s="2484"/>
      <c r="EX1284" s="2484"/>
      <c r="EY1284" s="2484"/>
      <c r="EZ1284" s="2484"/>
      <c r="FA1284" s="2484"/>
      <c r="FB1284" s="2484"/>
      <c r="FC1284" s="2484"/>
      <c r="FD1284" s="2484"/>
      <c r="FE1284" s="2484"/>
      <c r="FF1284" s="2484"/>
      <c r="FG1284" s="2484"/>
      <c r="FH1284" s="2484"/>
      <c r="FI1284" s="2484"/>
      <c r="FJ1284" s="2484"/>
      <c r="FK1284" s="2484"/>
      <c r="FL1284" s="2484"/>
      <c r="FM1284" s="2484"/>
      <c r="FN1284" s="2484"/>
      <c r="FO1284" s="2484"/>
      <c r="FP1284" s="2484"/>
      <c r="FQ1284" s="2484"/>
      <c r="FR1284" s="2484"/>
      <c r="FS1284" s="2484"/>
      <c r="FT1284" s="2484"/>
      <c r="FU1284" s="2484"/>
      <c r="FV1284" s="2484"/>
      <c r="FW1284" s="2484"/>
      <c r="FX1284" s="2484"/>
      <c r="FY1284" s="2484"/>
      <c r="FZ1284" s="2484"/>
      <c r="GA1284" s="2484"/>
      <c r="GB1284" s="2484"/>
      <c r="GC1284" s="2484"/>
      <c r="GD1284" s="2484"/>
      <c r="GE1284" s="2484"/>
      <c r="GF1284" s="2484"/>
      <c r="GG1284" s="2484"/>
      <c r="GH1284" s="2484"/>
      <c r="GI1284" s="2484"/>
      <c r="GJ1284" s="2484"/>
      <c r="GK1284" s="2484"/>
      <c r="GL1284" s="2484"/>
      <c r="GM1284" s="2484"/>
      <c r="GN1284" s="2484"/>
      <c r="GO1284" s="2484"/>
      <c r="GP1284" s="2484"/>
      <c r="GQ1284" s="2484"/>
      <c r="GR1284" s="2484"/>
      <c r="GS1284" s="2484"/>
      <c r="GT1284" s="2484"/>
      <c r="GU1284" s="2484"/>
      <c r="GV1284" s="2484"/>
      <c r="GW1284" s="2484"/>
      <c r="GX1284" s="2484"/>
      <c r="GY1284" s="2484"/>
      <c r="GZ1284" s="2484"/>
      <c r="HA1284" s="2484"/>
      <c r="HB1284" s="2484"/>
      <c r="HC1284" s="2484"/>
      <c r="HD1284" s="2484"/>
      <c r="HE1284" s="2484"/>
      <c r="HF1284" s="2484"/>
      <c r="HG1284" s="2484"/>
      <c r="HH1284" s="2484"/>
      <c r="HI1284" s="2484"/>
      <c r="HJ1284" s="2484"/>
      <c r="HK1284" s="2484"/>
      <c r="HL1284" s="2484"/>
      <c r="HM1284" s="2484"/>
      <c r="HN1284" s="2484"/>
      <c r="HO1284" s="2484"/>
      <c r="HP1284" s="2484"/>
      <c r="HQ1284" s="2484"/>
      <c r="HR1284" s="2484"/>
    </row>
    <row r="1285" spans="1:226" s="2485" customFormat="1" ht="15" hidden="1" customHeight="1">
      <c r="A1285" s="3140"/>
      <c r="B1285" s="3149"/>
      <c r="C1285" s="3145"/>
      <c r="D1285" s="3146"/>
      <c r="E1285" s="2489" t="s">
        <v>600</v>
      </c>
      <c r="F1285" s="2490">
        <f t="shared" si="118"/>
        <v>0</v>
      </c>
      <c r="G1285" s="2490"/>
      <c r="H1285" s="2490"/>
      <c r="I1285" s="2490"/>
      <c r="J1285" s="2491"/>
      <c r="K1285" s="2482"/>
    </row>
    <row r="1286" spans="1:226" s="2485" customFormat="1" ht="22.5">
      <c r="A1286" s="3140"/>
      <c r="B1286" s="3149"/>
      <c r="C1286" s="3145"/>
      <c r="D1286" s="3146"/>
      <c r="E1286" s="2497" t="s">
        <v>1094</v>
      </c>
      <c r="F1286" s="2498">
        <f>SUM(F1287:F1292)</f>
        <v>359950</v>
      </c>
      <c r="G1286" s="2498">
        <f>SUM(G1287:G1292)</f>
        <v>5000</v>
      </c>
      <c r="H1286" s="2498">
        <f>SUM(H1287:H1292)</f>
        <v>354950</v>
      </c>
      <c r="I1286" s="2498">
        <f>SUM(I1287:I1292)</f>
        <v>0</v>
      </c>
      <c r="J1286" s="2499">
        <f>SUM(J1287:J1292)</f>
        <v>0</v>
      </c>
      <c r="K1286" s="2482"/>
    </row>
    <row r="1287" spans="1:226" s="2485" customFormat="1" ht="15" customHeight="1">
      <c r="A1287" s="3140"/>
      <c r="B1287" s="3149"/>
      <c r="C1287" s="3145"/>
      <c r="D1287" s="3146"/>
      <c r="E1287" s="2489" t="s">
        <v>897</v>
      </c>
      <c r="F1287" s="2490">
        <f t="shared" ref="F1287:F1292" si="119">SUM(G1287:J1287)</f>
        <v>3000</v>
      </c>
      <c r="G1287" s="2490"/>
      <c r="H1287" s="2490">
        <v>3000</v>
      </c>
      <c r="I1287" s="2490"/>
      <c r="J1287" s="2491"/>
      <c r="K1287" s="2482"/>
    </row>
    <row r="1288" spans="1:226" s="2485" customFormat="1" ht="15" customHeight="1">
      <c r="A1288" s="3140"/>
      <c r="B1288" s="3149"/>
      <c r="C1288" s="3145"/>
      <c r="D1288" s="3146"/>
      <c r="E1288" s="2489" t="s">
        <v>651</v>
      </c>
      <c r="F1288" s="2490">
        <f t="shared" si="119"/>
        <v>4000</v>
      </c>
      <c r="G1288" s="2490"/>
      <c r="H1288" s="2490">
        <v>4000</v>
      </c>
      <c r="I1288" s="2490"/>
      <c r="J1288" s="2491"/>
      <c r="K1288" s="2482"/>
    </row>
    <row r="1289" spans="1:226" s="2485" customFormat="1" ht="15" customHeight="1">
      <c r="A1289" s="3140"/>
      <c r="B1289" s="3149"/>
      <c r="C1289" s="3145"/>
      <c r="D1289" s="3146"/>
      <c r="E1289" s="2489" t="s">
        <v>652</v>
      </c>
      <c r="F1289" s="2490">
        <f t="shared" si="119"/>
        <v>310682</v>
      </c>
      <c r="G1289" s="2490"/>
      <c r="H1289" s="2490">
        <v>310682</v>
      </c>
      <c r="I1289" s="2490"/>
      <c r="J1289" s="2491"/>
      <c r="K1289" s="2482"/>
    </row>
    <row r="1290" spans="1:226" s="2485" customFormat="1" ht="15" customHeight="1">
      <c r="A1290" s="3140"/>
      <c r="B1290" s="3149"/>
      <c r="C1290" s="3145"/>
      <c r="D1290" s="3146"/>
      <c r="E1290" s="2489" t="s">
        <v>609</v>
      </c>
      <c r="F1290" s="2490">
        <f t="shared" si="119"/>
        <v>5000</v>
      </c>
      <c r="G1290" s="2490">
        <v>5000</v>
      </c>
      <c r="H1290" s="2490"/>
      <c r="I1290" s="2490"/>
      <c r="J1290" s="2491"/>
      <c r="K1290" s="2482"/>
    </row>
    <row r="1291" spans="1:226" s="2485" customFormat="1" ht="15" customHeight="1">
      <c r="A1291" s="3140"/>
      <c r="B1291" s="3149"/>
      <c r="C1291" s="3145"/>
      <c r="D1291" s="3146"/>
      <c r="E1291" s="2489" t="s">
        <v>729</v>
      </c>
      <c r="F1291" s="2490">
        <f t="shared" si="119"/>
        <v>35000</v>
      </c>
      <c r="G1291" s="2490"/>
      <c r="H1291" s="2490">
        <v>35000</v>
      </c>
      <c r="I1291" s="2490"/>
      <c r="J1291" s="2491"/>
      <c r="K1291" s="2482"/>
    </row>
    <row r="1292" spans="1:226" s="2537" customFormat="1" ht="15" customHeight="1">
      <c r="A1292" s="3140"/>
      <c r="B1292" s="3149"/>
      <c r="C1292" s="3145"/>
      <c r="D1292" s="3146"/>
      <c r="E1292" s="2489" t="s">
        <v>653</v>
      </c>
      <c r="F1292" s="2490">
        <f t="shared" si="119"/>
        <v>2268</v>
      </c>
      <c r="G1292" s="2490"/>
      <c r="H1292" s="2490">
        <v>2268</v>
      </c>
      <c r="I1292" s="2490"/>
      <c r="J1292" s="2491"/>
      <c r="K1292" s="2536"/>
    </row>
    <row r="1293" spans="1:226" s="2537" customFormat="1" ht="15" customHeight="1">
      <c r="A1293" s="3141"/>
      <c r="B1293" s="3150"/>
      <c r="C1293" s="3116"/>
      <c r="D1293" s="3118"/>
      <c r="E1293" s="2492" t="s">
        <v>1087</v>
      </c>
      <c r="F1293" s="2487">
        <f>SUM(F1294:F1295)</f>
        <v>0</v>
      </c>
      <c r="G1293" s="2487">
        <f>SUM(G1294:G1295)</f>
        <v>0</v>
      </c>
      <c r="H1293" s="2487">
        <f>SUM(H1294:H1295)</f>
        <v>0</v>
      </c>
      <c r="I1293" s="2487">
        <f>SUM(I1294:I1295)</f>
        <v>0</v>
      </c>
      <c r="J1293" s="2488">
        <f>SUM(J1294:J1295)</f>
        <v>0</v>
      </c>
      <c r="K1293" s="2536"/>
    </row>
    <row r="1294" spans="1:226" s="2537" customFormat="1" ht="15" hidden="1" customHeight="1">
      <c r="A1294" s="2500"/>
      <c r="B1294" s="2501"/>
      <c r="C1294" s="2493"/>
      <c r="D1294" s="2502"/>
      <c r="E1294" s="2489"/>
      <c r="F1294" s="2490">
        <f>SUM(G1294:J1294)</f>
        <v>0</v>
      </c>
      <c r="G1294" s="2490"/>
      <c r="H1294" s="2490"/>
      <c r="I1294" s="2490"/>
      <c r="J1294" s="2491"/>
      <c r="K1294" s="2536"/>
    </row>
    <row r="1295" spans="1:226" s="2295" customFormat="1" ht="15" hidden="1" customHeight="1">
      <c r="A1295" s="2500"/>
      <c r="B1295" s="2501"/>
      <c r="C1295" s="2493"/>
      <c r="D1295" s="2502"/>
      <c r="E1295" s="2503"/>
      <c r="F1295" s="2490">
        <f>SUM(G1295:J1295)</f>
        <v>0</v>
      </c>
      <c r="G1295" s="2490"/>
      <c r="H1295" s="2490"/>
      <c r="I1295" s="2490"/>
      <c r="J1295" s="2491"/>
      <c r="K1295" s="2538"/>
    </row>
    <row r="1296" spans="1:226" s="2485" customFormat="1" ht="22.5">
      <c r="A1296" s="3112" t="s">
        <v>1088</v>
      </c>
      <c r="B1296" s="3113" t="s">
        <v>1201</v>
      </c>
      <c r="C1296" s="3114">
        <v>855</v>
      </c>
      <c r="D1296" s="3134" t="s">
        <v>111</v>
      </c>
      <c r="E1296" s="2479" t="s">
        <v>1086</v>
      </c>
      <c r="F1296" s="2480">
        <f>SUM(F1297,F1313)</f>
        <v>767371</v>
      </c>
      <c r="G1296" s="2480">
        <f>SUM(G1297,G1313)</f>
        <v>9503</v>
      </c>
      <c r="H1296" s="2480">
        <f>SUM(H1297,H1313)</f>
        <v>658512</v>
      </c>
      <c r="I1296" s="2480">
        <f>SUM(I1297,I1313)</f>
        <v>99356</v>
      </c>
      <c r="J1296" s="2481">
        <f>SUM(J1297,J1313)</f>
        <v>0</v>
      </c>
      <c r="K1296" s="2482"/>
    </row>
    <row r="1297" spans="1:226" s="2485" customFormat="1" ht="21">
      <c r="A1297" s="3112"/>
      <c r="B1297" s="3113"/>
      <c r="C1297" s="3114"/>
      <c r="D1297" s="3134"/>
      <c r="E1297" s="2486" t="s">
        <v>1092</v>
      </c>
      <c r="F1297" s="2487">
        <f>SUM(F1298,F1300,F1310)</f>
        <v>767371</v>
      </c>
      <c r="G1297" s="2487">
        <f>SUM(G1298,G1300,G1310)</f>
        <v>9503</v>
      </c>
      <c r="H1297" s="2487">
        <f>SUM(H1298,H1300,H1310)</f>
        <v>658512</v>
      </c>
      <c r="I1297" s="2487">
        <f>SUM(I1298,I1300,I1310)</f>
        <v>99356</v>
      </c>
      <c r="J1297" s="2488">
        <f>SUM(J1298,J1300,J1310)</f>
        <v>0</v>
      </c>
      <c r="K1297" s="2482"/>
    </row>
    <row r="1298" spans="1:226" s="2485" customFormat="1" ht="15" customHeight="1">
      <c r="A1298" s="3112"/>
      <c r="B1298" s="3113"/>
      <c r="C1298" s="3114"/>
      <c r="D1298" s="3134"/>
      <c r="E1298" s="2497" t="s">
        <v>1109</v>
      </c>
      <c r="F1298" s="2498">
        <f>SUM(F1299)</f>
        <v>365688</v>
      </c>
      <c r="G1298" s="2498">
        <f t="shared" ref="G1298:J1298" si="120">SUM(G1299)</f>
        <v>0</v>
      </c>
      <c r="H1298" s="2498">
        <f t="shared" si="120"/>
        <v>365688</v>
      </c>
      <c r="I1298" s="2498">
        <f t="shared" si="120"/>
        <v>0</v>
      </c>
      <c r="J1298" s="2499">
        <f t="shared" si="120"/>
        <v>0</v>
      </c>
      <c r="K1298" s="2482"/>
    </row>
    <row r="1299" spans="1:226" s="2485" customFormat="1" ht="15" customHeight="1">
      <c r="A1299" s="3112"/>
      <c r="B1299" s="3113"/>
      <c r="C1299" s="3114"/>
      <c r="D1299" s="3134"/>
      <c r="E1299" s="2489" t="s">
        <v>418</v>
      </c>
      <c r="F1299" s="2490">
        <f>SUM(G1299:J1299)</f>
        <v>365688</v>
      </c>
      <c r="G1299" s="2490"/>
      <c r="H1299" s="2490">
        <v>365688</v>
      </c>
      <c r="I1299" s="2490"/>
      <c r="J1299" s="2491"/>
      <c r="K1299" s="2482"/>
    </row>
    <row r="1300" spans="1:226" s="2485" customFormat="1" ht="21" customHeight="1">
      <c r="A1300" s="3112"/>
      <c r="B1300" s="3113"/>
      <c r="C1300" s="3114"/>
      <c r="D1300" s="3134"/>
      <c r="E1300" s="2497" t="s">
        <v>1093</v>
      </c>
      <c r="F1300" s="2498">
        <f>SUM(F1301:F1309)</f>
        <v>110422</v>
      </c>
      <c r="G1300" s="2498">
        <f>SUM(G1301:G1309)</f>
        <v>9503</v>
      </c>
      <c r="H1300" s="2498">
        <f>SUM(H1301:H1309)</f>
        <v>100919</v>
      </c>
      <c r="I1300" s="2498">
        <f>SUM(I1301:I1309)</f>
        <v>0</v>
      </c>
      <c r="J1300" s="2499">
        <f>SUM(J1301:J1309)</f>
        <v>0</v>
      </c>
      <c r="K1300" s="2482"/>
    </row>
    <row r="1301" spans="1:226" s="2485" customFormat="1" ht="15" customHeight="1">
      <c r="A1301" s="3112"/>
      <c r="B1301" s="3113"/>
      <c r="C1301" s="3114"/>
      <c r="D1301" s="3134"/>
      <c r="E1301" s="2489" t="s">
        <v>647</v>
      </c>
      <c r="F1301" s="2490">
        <f t="shared" ref="F1301:F1309" si="121">SUM(G1301:J1301)</f>
        <v>80617</v>
      </c>
      <c r="G1301" s="2490"/>
      <c r="H1301" s="2490">
        <v>80617</v>
      </c>
      <c r="I1301" s="2490"/>
      <c r="J1301" s="2491"/>
      <c r="K1301" s="2482"/>
    </row>
    <row r="1302" spans="1:226" s="2485" customFormat="1" ht="15" customHeight="1">
      <c r="A1302" s="3112"/>
      <c r="B1302" s="3113"/>
      <c r="C1302" s="3114"/>
      <c r="D1302" s="3134"/>
      <c r="E1302" s="2489" t="s">
        <v>592</v>
      </c>
      <c r="F1302" s="2490">
        <f t="shared" si="121"/>
        <v>7961</v>
      </c>
      <c r="G1302" s="2490">
        <v>7961</v>
      </c>
      <c r="H1302" s="2490"/>
      <c r="I1302" s="2490"/>
      <c r="J1302" s="2491"/>
      <c r="K1302" s="2482"/>
    </row>
    <row r="1303" spans="1:226" s="2485" customFormat="1" ht="15" customHeight="1">
      <c r="A1303" s="3112"/>
      <c r="B1303" s="3113"/>
      <c r="C1303" s="3114"/>
      <c r="D1303" s="3134"/>
      <c r="E1303" s="2489" t="s">
        <v>648</v>
      </c>
      <c r="F1303" s="2490">
        <f t="shared" si="121"/>
        <v>3918</v>
      </c>
      <c r="G1303" s="2490"/>
      <c r="H1303" s="2490">
        <v>3918</v>
      </c>
      <c r="I1303" s="2490"/>
      <c r="J1303" s="2491"/>
      <c r="K1303" s="2482"/>
    </row>
    <row r="1304" spans="1:226" s="2485" customFormat="1" ht="15" customHeight="1">
      <c r="A1304" s="3112"/>
      <c r="B1304" s="3113"/>
      <c r="C1304" s="3114"/>
      <c r="D1304" s="3134"/>
      <c r="E1304" s="2489" t="s">
        <v>649</v>
      </c>
      <c r="F1304" s="2490">
        <f t="shared" si="121"/>
        <v>14313</v>
      </c>
      <c r="G1304" s="2490"/>
      <c r="H1304" s="2490">
        <v>14313</v>
      </c>
      <c r="I1304" s="2490"/>
      <c r="J1304" s="2491"/>
      <c r="K1304" s="2495"/>
    </row>
    <row r="1305" spans="1:226" s="2485" customFormat="1" ht="15" customHeight="1">
      <c r="A1305" s="3112"/>
      <c r="B1305" s="3113"/>
      <c r="C1305" s="3114"/>
      <c r="D1305" s="3134"/>
      <c r="E1305" s="2489" t="s">
        <v>596</v>
      </c>
      <c r="F1305" s="2490">
        <f t="shared" si="121"/>
        <v>1348</v>
      </c>
      <c r="G1305" s="2490">
        <v>1348</v>
      </c>
      <c r="H1305" s="2490"/>
      <c r="I1305" s="2490"/>
      <c r="J1305" s="2491"/>
      <c r="K1305" s="2482"/>
    </row>
    <row r="1306" spans="1:226" s="2485" customFormat="1" ht="15" customHeight="1">
      <c r="A1306" s="3112"/>
      <c r="B1306" s="3113"/>
      <c r="C1306" s="3114"/>
      <c r="D1306" s="3134"/>
      <c r="E1306" s="2489" t="s">
        <v>650</v>
      </c>
      <c r="F1306" s="2490">
        <f t="shared" si="121"/>
        <v>2071</v>
      </c>
      <c r="G1306" s="2490"/>
      <c r="H1306" s="2490">
        <v>2071</v>
      </c>
      <c r="I1306" s="2490"/>
      <c r="J1306" s="2491"/>
      <c r="K1306" s="2482"/>
    </row>
    <row r="1307" spans="1:226" s="2485" customFormat="1" ht="15" customHeight="1">
      <c r="A1307" s="3112"/>
      <c r="B1307" s="3113"/>
      <c r="C1307" s="3114"/>
      <c r="D1307" s="3134"/>
      <c r="E1307" s="2489" t="s">
        <v>598</v>
      </c>
      <c r="F1307" s="2490">
        <f t="shared" si="121"/>
        <v>194</v>
      </c>
      <c r="G1307" s="2490">
        <v>194</v>
      </c>
      <c r="H1307" s="2490"/>
      <c r="I1307" s="2490"/>
      <c r="J1307" s="2491"/>
      <c r="K1307" s="2482"/>
    </row>
    <row r="1308" spans="1:226" s="2485" customFormat="1" ht="15" hidden="1" customHeight="1">
      <c r="A1308" s="3112"/>
      <c r="B1308" s="3113"/>
      <c r="C1308" s="3114"/>
      <c r="D1308" s="3134"/>
      <c r="E1308" s="2489" t="s">
        <v>726</v>
      </c>
      <c r="F1308" s="2490">
        <f t="shared" si="121"/>
        <v>0</v>
      </c>
      <c r="G1308" s="2490"/>
      <c r="H1308" s="2490"/>
      <c r="I1308" s="2490"/>
      <c r="J1308" s="2491"/>
      <c r="K1308" s="2482"/>
      <c r="L1308" s="2484"/>
      <c r="M1308" s="2484"/>
      <c r="N1308" s="2484"/>
      <c r="O1308" s="2484"/>
      <c r="P1308" s="2484"/>
      <c r="Q1308" s="2484"/>
      <c r="R1308" s="2484"/>
      <c r="S1308" s="2484"/>
      <c r="T1308" s="2484"/>
      <c r="U1308" s="2484"/>
      <c r="V1308" s="2484"/>
      <c r="W1308" s="2484"/>
      <c r="X1308" s="2484"/>
      <c r="Y1308" s="2484"/>
      <c r="Z1308" s="2484"/>
      <c r="AA1308" s="2484"/>
      <c r="AB1308" s="2484"/>
      <c r="AC1308" s="2484"/>
      <c r="AD1308" s="2484"/>
      <c r="AE1308" s="2484"/>
      <c r="AF1308" s="2484"/>
      <c r="AG1308" s="2484"/>
      <c r="AH1308" s="2484"/>
      <c r="AI1308" s="2484"/>
      <c r="AJ1308" s="2484"/>
      <c r="AK1308" s="2484"/>
      <c r="AL1308" s="2484"/>
      <c r="AM1308" s="2484"/>
      <c r="AN1308" s="2484"/>
      <c r="AO1308" s="2484"/>
      <c r="AP1308" s="2484"/>
      <c r="AQ1308" s="2484"/>
      <c r="AR1308" s="2484"/>
      <c r="AS1308" s="2484"/>
      <c r="AT1308" s="2484"/>
      <c r="AU1308" s="2484"/>
      <c r="AV1308" s="2484"/>
      <c r="AW1308" s="2484"/>
      <c r="AX1308" s="2484"/>
      <c r="AY1308" s="2484"/>
      <c r="AZ1308" s="2484"/>
      <c r="BA1308" s="2484"/>
      <c r="BB1308" s="2484"/>
      <c r="BC1308" s="2484"/>
      <c r="BD1308" s="2484"/>
      <c r="BE1308" s="2484"/>
      <c r="BF1308" s="2484"/>
      <c r="BG1308" s="2484"/>
      <c r="BH1308" s="2484"/>
      <c r="BI1308" s="2484"/>
      <c r="BJ1308" s="2484"/>
      <c r="BK1308" s="2484"/>
      <c r="BL1308" s="2484"/>
      <c r="BM1308" s="2484"/>
      <c r="BN1308" s="2484"/>
      <c r="BO1308" s="2484"/>
      <c r="BP1308" s="2484"/>
      <c r="BQ1308" s="2484"/>
      <c r="BR1308" s="2484"/>
      <c r="BS1308" s="2484"/>
      <c r="BT1308" s="2484"/>
      <c r="BU1308" s="2484"/>
      <c r="BV1308" s="2484"/>
      <c r="BW1308" s="2484"/>
      <c r="BX1308" s="2484"/>
      <c r="BY1308" s="2484"/>
      <c r="BZ1308" s="2484"/>
      <c r="CA1308" s="2484"/>
      <c r="CB1308" s="2484"/>
      <c r="CC1308" s="2484"/>
      <c r="CD1308" s="2484"/>
      <c r="CE1308" s="2484"/>
      <c r="CF1308" s="2484"/>
      <c r="CG1308" s="2484"/>
      <c r="CH1308" s="2484"/>
      <c r="CI1308" s="2484"/>
      <c r="CJ1308" s="2484"/>
      <c r="CK1308" s="2484"/>
      <c r="CL1308" s="2484"/>
      <c r="CM1308" s="2484"/>
      <c r="CN1308" s="2484"/>
      <c r="CO1308" s="2484"/>
      <c r="CP1308" s="2484"/>
      <c r="CQ1308" s="2484"/>
      <c r="CR1308" s="2484"/>
      <c r="CS1308" s="2484"/>
      <c r="CT1308" s="2484"/>
      <c r="CU1308" s="2484"/>
      <c r="CV1308" s="2484"/>
      <c r="CW1308" s="2484"/>
      <c r="CX1308" s="2484"/>
      <c r="CY1308" s="2484"/>
      <c r="CZ1308" s="2484"/>
      <c r="DA1308" s="2484"/>
      <c r="DB1308" s="2484"/>
      <c r="DC1308" s="2484"/>
      <c r="DD1308" s="2484"/>
      <c r="DE1308" s="2484"/>
      <c r="DF1308" s="2484"/>
      <c r="DG1308" s="2484"/>
      <c r="DH1308" s="2484"/>
      <c r="DI1308" s="2484"/>
      <c r="DJ1308" s="2484"/>
      <c r="DK1308" s="2484"/>
      <c r="DL1308" s="2484"/>
      <c r="DM1308" s="2484"/>
      <c r="DN1308" s="2484"/>
      <c r="DO1308" s="2484"/>
      <c r="DP1308" s="2484"/>
      <c r="DQ1308" s="2484"/>
      <c r="DR1308" s="2484"/>
      <c r="DS1308" s="2484"/>
      <c r="DT1308" s="2484"/>
      <c r="DU1308" s="2484"/>
      <c r="DV1308" s="2484"/>
      <c r="DW1308" s="2484"/>
      <c r="DX1308" s="2484"/>
      <c r="DY1308" s="2484"/>
      <c r="DZ1308" s="2484"/>
      <c r="EA1308" s="2484"/>
      <c r="EB1308" s="2484"/>
      <c r="EC1308" s="2484"/>
      <c r="ED1308" s="2484"/>
      <c r="EE1308" s="2484"/>
      <c r="EF1308" s="2484"/>
      <c r="EG1308" s="2484"/>
      <c r="EH1308" s="2484"/>
      <c r="EI1308" s="2484"/>
      <c r="EJ1308" s="2484"/>
      <c r="EK1308" s="2484"/>
      <c r="EL1308" s="2484"/>
      <c r="EM1308" s="2484"/>
      <c r="EN1308" s="2484"/>
      <c r="EO1308" s="2484"/>
      <c r="EP1308" s="2484"/>
      <c r="EQ1308" s="2484"/>
      <c r="ER1308" s="2484"/>
      <c r="ES1308" s="2484"/>
      <c r="ET1308" s="2484"/>
      <c r="EU1308" s="2484"/>
      <c r="EV1308" s="2484"/>
      <c r="EW1308" s="2484"/>
      <c r="EX1308" s="2484"/>
      <c r="EY1308" s="2484"/>
      <c r="EZ1308" s="2484"/>
      <c r="FA1308" s="2484"/>
      <c r="FB1308" s="2484"/>
      <c r="FC1308" s="2484"/>
      <c r="FD1308" s="2484"/>
      <c r="FE1308" s="2484"/>
      <c r="FF1308" s="2484"/>
      <c r="FG1308" s="2484"/>
      <c r="FH1308" s="2484"/>
      <c r="FI1308" s="2484"/>
      <c r="FJ1308" s="2484"/>
      <c r="FK1308" s="2484"/>
      <c r="FL1308" s="2484"/>
      <c r="FM1308" s="2484"/>
      <c r="FN1308" s="2484"/>
      <c r="FO1308" s="2484"/>
      <c r="FP1308" s="2484"/>
      <c r="FQ1308" s="2484"/>
      <c r="FR1308" s="2484"/>
      <c r="FS1308" s="2484"/>
      <c r="FT1308" s="2484"/>
      <c r="FU1308" s="2484"/>
      <c r="FV1308" s="2484"/>
      <c r="FW1308" s="2484"/>
      <c r="FX1308" s="2484"/>
      <c r="FY1308" s="2484"/>
      <c r="FZ1308" s="2484"/>
      <c r="GA1308" s="2484"/>
      <c r="GB1308" s="2484"/>
      <c r="GC1308" s="2484"/>
      <c r="GD1308" s="2484"/>
      <c r="GE1308" s="2484"/>
      <c r="GF1308" s="2484"/>
      <c r="GG1308" s="2484"/>
      <c r="GH1308" s="2484"/>
      <c r="GI1308" s="2484"/>
      <c r="GJ1308" s="2484"/>
      <c r="GK1308" s="2484"/>
      <c r="GL1308" s="2484"/>
      <c r="GM1308" s="2484"/>
      <c r="GN1308" s="2484"/>
      <c r="GO1308" s="2484"/>
      <c r="GP1308" s="2484"/>
      <c r="GQ1308" s="2484"/>
      <c r="GR1308" s="2484"/>
      <c r="GS1308" s="2484"/>
      <c r="GT1308" s="2484"/>
      <c r="GU1308" s="2484"/>
      <c r="GV1308" s="2484"/>
      <c r="GW1308" s="2484"/>
      <c r="GX1308" s="2484"/>
      <c r="GY1308" s="2484"/>
      <c r="GZ1308" s="2484"/>
      <c r="HA1308" s="2484"/>
      <c r="HB1308" s="2484"/>
      <c r="HC1308" s="2484"/>
      <c r="HD1308" s="2484"/>
      <c r="HE1308" s="2484"/>
      <c r="HF1308" s="2484"/>
      <c r="HG1308" s="2484"/>
      <c r="HH1308" s="2484"/>
      <c r="HI1308" s="2484"/>
      <c r="HJ1308" s="2484"/>
      <c r="HK1308" s="2484"/>
      <c r="HL1308" s="2484"/>
      <c r="HM1308" s="2484"/>
      <c r="HN1308" s="2484"/>
      <c r="HO1308" s="2484"/>
      <c r="HP1308" s="2484"/>
      <c r="HQ1308" s="2484"/>
      <c r="HR1308" s="2484"/>
    </row>
    <row r="1309" spans="1:226" s="2485" customFormat="1" ht="15" hidden="1" customHeight="1">
      <c r="A1309" s="3112"/>
      <c r="B1309" s="3113"/>
      <c r="C1309" s="3114"/>
      <c r="D1309" s="3134"/>
      <c r="E1309" s="2489" t="s">
        <v>600</v>
      </c>
      <c r="F1309" s="2490">
        <f t="shared" si="121"/>
        <v>0</v>
      </c>
      <c r="G1309" s="2490"/>
      <c r="H1309" s="2490"/>
      <c r="I1309" s="2490"/>
      <c r="J1309" s="2491"/>
      <c r="K1309" s="2482"/>
    </row>
    <row r="1310" spans="1:226" s="2485" customFormat="1" ht="19.5" customHeight="1">
      <c r="A1310" s="3112"/>
      <c r="B1310" s="3113"/>
      <c r="C1310" s="3114"/>
      <c r="D1310" s="3134"/>
      <c r="E1310" s="2497" t="s">
        <v>1094</v>
      </c>
      <c r="F1310" s="2498">
        <f>SUM(F1311:F1312)</f>
        <v>291261</v>
      </c>
      <c r="G1310" s="2498">
        <f>SUM(G1311:G1312)</f>
        <v>0</v>
      </c>
      <c r="H1310" s="2498">
        <f>SUM(H1311:H1312)</f>
        <v>191905</v>
      </c>
      <c r="I1310" s="2498">
        <f>SUM(I1311:I1312)</f>
        <v>99356</v>
      </c>
      <c r="J1310" s="2499">
        <f>SUM(J1311:J1312)</f>
        <v>0</v>
      </c>
      <c r="K1310" s="2482"/>
    </row>
    <row r="1311" spans="1:226" s="2485" customFormat="1" ht="15" customHeight="1">
      <c r="A1311" s="3112"/>
      <c r="B1311" s="3113"/>
      <c r="C1311" s="3114"/>
      <c r="D1311" s="3134"/>
      <c r="E1311" s="2489" t="s">
        <v>652</v>
      </c>
      <c r="F1311" s="2490">
        <f t="shared" ref="F1311:F1312" si="122">SUM(G1311:J1311)</f>
        <v>191905</v>
      </c>
      <c r="G1311" s="2490"/>
      <c r="H1311" s="2490">
        <v>191905</v>
      </c>
      <c r="I1311" s="2490"/>
      <c r="J1311" s="2491"/>
      <c r="K1311" s="2482"/>
    </row>
    <row r="1312" spans="1:226" s="2485" customFormat="1" ht="15" customHeight="1">
      <c r="A1312" s="3112"/>
      <c r="B1312" s="3113"/>
      <c r="C1312" s="3114"/>
      <c r="D1312" s="3134"/>
      <c r="E1312" s="2489" t="s">
        <v>609</v>
      </c>
      <c r="F1312" s="2490">
        <f t="shared" si="122"/>
        <v>99356</v>
      </c>
      <c r="G1312" s="2490"/>
      <c r="H1312" s="2490"/>
      <c r="I1312" s="2490">
        <v>99356</v>
      </c>
      <c r="J1312" s="2491"/>
      <c r="K1312" s="2482"/>
    </row>
    <row r="1313" spans="1:226" s="2537" customFormat="1">
      <c r="A1313" s="3112"/>
      <c r="B1313" s="3113"/>
      <c r="C1313" s="3114"/>
      <c r="D1313" s="3134"/>
      <c r="E1313" s="2492" t="s">
        <v>1087</v>
      </c>
      <c r="F1313" s="2487">
        <f>SUM(F1314:F1315)</f>
        <v>0</v>
      </c>
      <c r="G1313" s="2487">
        <f>SUM(G1314:G1315)</f>
        <v>0</v>
      </c>
      <c r="H1313" s="2487">
        <f>SUM(H1314:H1315)</f>
        <v>0</v>
      </c>
      <c r="I1313" s="2487">
        <f>SUM(I1314:I1315)</f>
        <v>0</v>
      </c>
      <c r="J1313" s="2488">
        <f>SUM(J1314:J1315)</f>
        <v>0</v>
      </c>
      <c r="K1313" s="2536"/>
    </row>
    <row r="1314" spans="1:226" s="2537" customFormat="1" ht="15" hidden="1" customHeight="1">
      <c r="A1314" s="3112"/>
      <c r="B1314" s="3113"/>
      <c r="C1314" s="3114"/>
      <c r="D1314" s="3134"/>
      <c r="E1314" s="2489"/>
      <c r="F1314" s="2490">
        <f>SUM(G1314:J1314)</f>
        <v>0</v>
      </c>
      <c r="G1314" s="2490"/>
      <c r="H1314" s="2490"/>
      <c r="I1314" s="2490"/>
      <c r="J1314" s="2491"/>
      <c r="K1314" s="2536"/>
    </row>
    <row r="1315" spans="1:226" s="2295" customFormat="1" ht="15" hidden="1" customHeight="1">
      <c r="A1315" s="3112"/>
      <c r="B1315" s="3113"/>
      <c r="C1315" s="3114"/>
      <c r="D1315" s="3134"/>
      <c r="E1315" s="2503"/>
      <c r="F1315" s="2490">
        <f>SUM(G1315:J1315)</f>
        <v>0</v>
      </c>
      <c r="G1315" s="2490"/>
      <c r="H1315" s="2490"/>
      <c r="I1315" s="2490"/>
      <c r="J1315" s="2491"/>
      <c r="K1315" s="2538"/>
    </row>
    <row r="1316" spans="1:226" s="2485" customFormat="1" ht="22.5" customHeight="1">
      <c r="A1316" s="3139" t="s">
        <v>1090</v>
      </c>
      <c r="B1316" s="3148" t="s">
        <v>1202</v>
      </c>
      <c r="C1316" s="3115">
        <v>853</v>
      </c>
      <c r="D1316" s="3117" t="s">
        <v>916</v>
      </c>
      <c r="E1316" s="2479" t="s">
        <v>1086</v>
      </c>
      <c r="F1316" s="2480">
        <f>SUM(F1317,F1336)</f>
        <v>76016</v>
      </c>
      <c r="G1316" s="2480">
        <f>SUM(G1317,G1336)</f>
        <v>0</v>
      </c>
      <c r="H1316" s="2480">
        <f>SUM(H1317,H1336)</f>
        <v>64066</v>
      </c>
      <c r="I1316" s="2480">
        <f>SUM(I1317,I1336)</f>
        <v>11950</v>
      </c>
      <c r="J1316" s="2481">
        <f>SUM(J1317,J1336)</f>
        <v>0</v>
      </c>
      <c r="K1316" s="2482"/>
    </row>
    <row r="1317" spans="1:226" s="2485" customFormat="1" ht="21">
      <c r="A1317" s="3140"/>
      <c r="B1317" s="3149"/>
      <c r="C1317" s="3145"/>
      <c r="D1317" s="3146"/>
      <c r="E1317" s="2486" t="s">
        <v>1092</v>
      </c>
      <c r="F1317" s="2487">
        <f>SUM(F1318,F1320,F1329)</f>
        <v>76016</v>
      </c>
      <c r="G1317" s="2487">
        <f>SUM(G1318,G1320,G1329)</f>
        <v>0</v>
      </c>
      <c r="H1317" s="2487">
        <f>SUM(H1318,H1320,H1329)</f>
        <v>64066</v>
      </c>
      <c r="I1317" s="2487">
        <f>SUM(I1318,I1320,I1329)</f>
        <v>11950</v>
      </c>
      <c r="J1317" s="2488">
        <f>SUM(J1318,J1320,J1329)</f>
        <v>0</v>
      </c>
      <c r="K1317" s="2482"/>
    </row>
    <row r="1318" spans="1:226" s="2485" customFormat="1" ht="15" hidden="1" customHeight="1">
      <c r="A1318" s="3140"/>
      <c r="B1318" s="3149"/>
      <c r="C1318" s="3145"/>
      <c r="D1318" s="3146"/>
      <c r="E1318" s="2497" t="s">
        <v>1109</v>
      </c>
      <c r="F1318" s="2498">
        <f>SUM(F1319)</f>
        <v>0</v>
      </c>
      <c r="G1318" s="2498">
        <f t="shared" ref="G1318:J1318" si="123">SUM(G1319)</f>
        <v>0</v>
      </c>
      <c r="H1318" s="2498">
        <f t="shared" si="123"/>
        <v>0</v>
      </c>
      <c r="I1318" s="2498">
        <f t="shared" si="123"/>
        <v>0</v>
      </c>
      <c r="J1318" s="2499">
        <f t="shared" si="123"/>
        <v>0</v>
      </c>
      <c r="K1318" s="2482"/>
    </row>
    <row r="1319" spans="1:226" s="2485" customFormat="1" ht="15" hidden="1" customHeight="1">
      <c r="A1319" s="3140"/>
      <c r="B1319" s="3149"/>
      <c r="C1319" s="3145"/>
      <c r="D1319" s="3146"/>
      <c r="E1319" s="2489" t="s">
        <v>418</v>
      </c>
      <c r="F1319" s="2490">
        <f>SUM(G1319:J1319)</f>
        <v>0</v>
      </c>
      <c r="G1319" s="2490"/>
      <c r="H1319" s="2490"/>
      <c r="I1319" s="2490"/>
      <c r="J1319" s="2491"/>
      <c r="K1319" s="2482"/>
    </row>
    <row r="1320" spans="1:226" s="2485" customFormat="1" ht="22.5">
      <c r="A1320" s="3140"/>
      <c r="B1320" s="3149"/>
      <c r="C1320" s="3145"/>
      <c r="D1320" s="3146"/>
      <c r="E1320" s="2497" t="s">
        <v>1093</v>
      </c>
      <c r="F1320" s="2498">
        <f>SUM(F1321:F1328)</f>
        <v>73316</v>
      </c>
      <c r="G1320" s="2498">
        <f>SUM(G1321:G1328)</f>
        <v>0</v>
      </c>
      <c r="H1320" s="2498">
        <f>SUM(H1321:H1328)</f>
        <v>61791</v>
      </c>
      <c r="I1320" s="2498">
        <f>SUM(I1321:I1328)</f>
        <v>11525</v>
      </c>
      <c r="J1320" s="2499">
        <f>SUM(J1321:J1328)</f>
        <v>0</v>
      </c>
      <c r="K1320" s="2482"/>
    </row>
    <row r="1321" spans="1:226" s="2485" customFormat="1" ht="15" customHeight="1">
      <c r="A1321" s="3140"/>
      <c r="B1321" s="3149"/>
      <c r="C1321" s="3145"/>
      <c r="D1321" s="3146"/>
      <c r="E1321" s="2489" t="s">
        <v>647</v>
      </c>
      <c r="F1321" s="2490">
        <f t="shared" ref="F1321:F1328" si="124">SUM(G1321:J1321)</f>
        <v>48474</v>
      </c>
      <c r="G1321" s="2490"/>
      <c r="H1321" s="2490">
        <v>48474</v>
      </c>
      <c r="I1321" s="2490"/>
      <c r="J1321" s="2491"/>
      <c r="K1321" s="2482"/>
    </row>
    <row r="1322" spans="1:226" s="2485" customFormat="1" ht="15" customHeight="1">
      <c r="A1322" s="3140"/>
      <c r="B1322" s="3149"/>
      <c r="C1322" s="3145"/>
      <c r="D1322" s="3146"/>
      <c r="E1322" s="2489" t="s">
        <v>592</v>
      </c>
      <c r="F1322" s="2490">
        <f t="shared" si="124"/>
        <v>9041</v>
      </c>
      <c r="G1322" s="2490"/>
      <c r="H1322" s="2490"/>
      <c r="I1322" s="2490">
        <v>9041</v>
      </c>
      <c r="J1322" s="2491"/>
      <c r="K1322" s="2482"/>
    </row>
    <row r="1323" spans="1:226" s="2485" customFormat="1" ht="15" customHeight="1">
      <c r="A1323" s="3140"/>
      <c r="B1323" s="3149"/>
      <c r="C1323" s="3145"/>
      <c r="D1323" s="3146"/>
      <c r="E1323" s="2489" t="s">
        <v>648</v>
      </c>
      <c r="F1323" s="2490">
        <f t="shared" si="124"/>
        <v>3284</v>
      </c>
      <c r="G1323" s="2490"/>
      <c r="H1323" s="2490">
        <v>3284</v>
      </c>
      <c r="I1323" s="2490"/>
      <c r="J1323" s="2491"/>
      <c r="K1323" s="2495"/>
    </row>
    <row r="1324" spans="1:226" s="2485" customFormat="1" ht="15" customHeight="1">
      <c r="A1324" s="3140"/>
      <c r="B1324" s="3149"/>
      <c r="C1324" s="3145"/>
      <c r="D1324" s="3146"/>
      <c r="E1324" s="2489" t="s">
        <v>594</v>
      </c>
      <c r="F1324" s="2490">
        <f t="shared" si="124"/>
        <v>612</v>
      </c>
      <c r="G1324" s="2490"/>
      <c r="H1324" s="2490"/>
      <c r="I1324" s="2490">
        <v>612</v>
      </c>
      <c r="J1324" s="2491"/>
      <c r="K1324" s="2482"/>
    </row>
    <row r="1325" spans="1:226" s="2485" customFormat="1" ht="15" customHeight="1">
      <c r="A1325" s="3140"/>
      <c r="B1325" s="3149"/>
      <c r="C1325" s="3145"/>
      <c r="D1325" s="3146"/>
      <c r="E1325" s="2489" t="s">
        <v>649</v>
      </c>
      <c r="F1325" s="2490">
        <f t="shared" si="124"/>
        <v>8764</v>
      </c>
      <c r="G1325" s="2490"/>
      <c r="H1325" s="2490">
        <v>8764</v>
      </c>
      <c r="I1325" s="2490"/>
      <c r="J1325" s="2491"/>
      <c r="K1325" s="2482"/>
    </row>
    <row r="1326" spans="1:226" s="2485" customFormat="1" ht="15" customHeight="1">
      <c r="A1326" s="3140"/>
      <c r="B1326" s="3149"/>
      <c r="C1326" s="3145"/>
      <c r="D1326" s="3146"/>
      <c r="E1326" s="2489" t="s">
        <v>596</v>
      </c>
      <c r="F1326" s="2490">
        <f t="shared" si="124"/>
        <v>1635</v>
      </c>
      <c r="G1326" s="2490"/>
      <c r="H1326" s="2490"/>
      <c r="I1326" s="2490">
        <v>1635</v>
      </c>
      <c r="J1326" s="2491"/>
      <c r="K1326" s="2482"/>
    </row>
    <row r="1327" spans="1:226" s="2485" customFormat="1" ht="15" customHeight="1">
      <c r="A1327" s="3140"/>
      <c r="B1327" s="3149"/>
      <c r="C1327" s="3145"/>
      <c r="D1327" s="3146"/>
      <c r="E1327" s="2489" t="s">
        <v>650</v>
      </c>
      <c r="F1327" s="2490">
        <f t="shared" si="124"/>
        <v>1269</v>
      </c>
      <c r="G1327" s="2490"/>
      <c r="H1327" s="2490">
        <v>1269</v>
      </c>
      <c r="I1327" s="2490"/>
      <c r="J1327" s="2491"/>
      <c r="K1327" s="2482"/>
      <c r="L1327" s="2484"/>
      <c r="M1327" s="2484"/>
      <c r="N1327" s="2484"/>
      <c r="O1327" s="2484"/>
      <c r="P1327" s="2484"/>
      <c r="Q1327" s="2484"/>
      <c r="R1327" s="2484"/>
      <c r="S1327" s="2484"/>
      <c r="T1327" s="2484"/>
      <c r="U1327" s="2484"/>
      <c r="V1327" s="2484"/>
      <c r="W1327" s="2484"/>
      <c r="X1327" s="2484"/>
      <c r="Y1327" s="2484"/>
      <c r="Z1327" s="2484"/>
      <c r="AA1327" s="2484"/>
      <c r="AB1327" s="2484"/>
      <c r="AC1327" s="2484"/>
      <c r="AD1327" s="2484"/>
      <c r="AE1327" s="2484"/>
      <c r="AF1327" s="2484"/>
      <c r="AG1327" s="2484"/>
      <c r="AH1327" s="2484"/>
      <c r="AI1327" s="2484"/>
      <c r="AJ1327" s="2484"/>
      <c r="AK1327" s="2484"/>
      <c r="AL1327" s="2484"/>
      <c r="AM1327" s="2484"/>
      <c r="AN1327" s="2484"/>
      <c r="AO1327" s="2484"/>
      <c r="AP1327" s="2484"/>
      <c r="AQ1327" s="2484"/>
      <c r="AR1327" s="2484"/>
      <c r="AS1327" s="2484"/>
      <c r="AT1327" s="2484"/>
      <c r="AU1327" s="2484"/>
      <c r="AV1327" s="2484"/>
      <c r="AW1327" s="2484"/>
      <c r="AX1327" s="2484"/>
      <c r="AY1327" s="2484"/>
      <c r="AZ1327" s="2484"/>
      <c r="BA1327" s="2484"/>
      <c r="BB1327" s="2484"/>
      <c r="BC1327" s="2484"/>
      <c r="BD1327" s="2484"/>
      <c r="BE1327" s="2484"/>
      <c r="BF1327" s="2484"/>
      <c r="BG1327" s="2484"/>
      <c r="BH1327" s="2484"/>
      <c r="BI1327" s="2484"/>
      <c r="BJ1327" s="2484"/>
      <c r="BK1327" s="2484"/>
      <c r="BL1327" s="2484"/>
      <c r="BM1327" s="2484"/>
      <c r="BN1327" s="2484"/>
      <c r="BO1327" s="2484"/>
      <c r="BP1327" s="2484"/>
      <c r="BQ1327" s="2484"/>
      <c r="BR1327" s="2484"/>
      <c r="BS1327" s="2484"/>
      <c r="BT1327" s="2484"/>
      <c r="BU1327" s="2484"/>
      <c r="BV1327" s="2484"/>
      <c r="BW1327" s="2484"/>
      <c r="BX1327" s="2484"/>
      <c r="BY1327" s="2484"/>
      <c r="BZ1327" s="2484"/>
      <c r="CA1327" s="2484"/>
      <c r="CB1327" s="2484"/>
      <c r="CC1327" s="2484"/>
      <c r="CD1327" s="2484"/>
      <c r="CE1327" s="2484"/>
      <c r="CF1327" s="2484"/>
      <c r="CG1327" s="2484"/>
      <c r="CH1327" s="2484"/>
      <c r="CI1327" s="2484"/>
      <c r="CJ1327" s="2484"/>
      <c r="CK1327" s="2484"/>
      <c r="CL1327" s="2484"/>
      <c r="CM1327" s="2484"/>
      <c r="CN1327" s="2484"/>
      <c r="CO1327" s="2484"/>
      <c r="CP1327" s="2484"/>
      <c r="CQ1327" s="2484"/>
      <c r="CR1327" s="2484"/>
      <c r="CS1327" s="2484"/>
      <c r="CT1327" s="2484"/>
      <c r="CU1327" s="2484"/>
      <c r="CV1327" s="2484"/>
      <c r="CW1327" s="2484"/>
      <c r="CX1327" s="2484"/>
      <c r="CY1327" s="2484"/>
      <c r="CZ1327" s="2484"/>
      <c r="DA1327" s="2484"/>
      <c r="DB1327" s="2484"/>
      <c r="DC1327" s="2484"/>
      <c r="DD1327" s="2484"/>
      <c r="DE1327" s="2484"/>
      <c r="DF1327" s="2484"/>
      <c r="DG1327" s="2484"/>
      <c r="DH1327" s="2484"/>
      <c r="DI1327" s="2484"/>
      <c r="DJ1327" s="2484"/>
      <c r="DK1327" s="2484"/>
      <c r="DL1327" s="2484"/>
      <c r="DM1327" s="2484"/>
      <c r="DN1327" s="2484"/>
      <c r="DO1327" s="2484"/>
      <c r="DP1327" s="2484"/>
      <c r="DQ1327" s="2484"/>
      <c r="DR1327" s="2484"/>
      <c r="DS1327" s="2484"/>
      <c r="DT1327" s="2484"/>
      <c r="DU1327" s="2484"/>
      <c r="DV1327" s="2484"/>
      <c r="DW1327" s="2484"/>
      <c r="DX1327" s="2484"/>
      <c r="DY1327" s="2484"/>
      <c r="DZ1327" s="2484"/>
      <c r="EA1327" s="2484"/>
      <c r="EB1327" s="2484"/>
      <c r="EC1327" s="2484"/>
      <c r="ED1327" s="2484"/>
      <c r="EE1327" s="2484"/>
      <c r="EF1327" s="2484"/>
      <c r="EG1327" s="2484"/>
      <c r="EH1327" s="2484"/>
      <c r="EI1327" s="2484"/>
      <c r="EJ1327" s="2484"/>
      <c r="EK1327" s="2484"/>
      <c r="EL1327" s="2484"/>
      <c r="EM1327" s="2484"/>
      <c r="EN1327" s="2484"/>
      <c r="EO1327" s="2484"/>
      <c r="EP1327" s="2484"/>
      <c r="EQ1327" s="2484"/>
      <c r="ER1327" s="2484"/>
      <c r="ES1327" s="2484"/>
      <c r="ET1327" s="2484"/>
      <c r="EU1327" s="2484"/>
      <c r="EV1327" s="2484"/>
      <c r="EW1327" s="2484"/>
      <c r="EX1327" s="2484"/>
      <c r="EY1327" s="2484"/>
      <c r="EZ1327" s="2484"/>
      <c r="FA1327" s="2484"/>
      <c r="FB1327" s="2484"/>
      <c r="FC1327" s="2484"/>
      <c r="FD1327" s="2484"/>
      <c r="FE1327" s="2484"/>
      <c r="FF1327" s="2484"/>
      <c r="FG1327" s="2484"/>
      <c r="FH1327" s="2484"/>
      <c r="FI1327" s="2484"/>
      <c r="FJ1327" s="2484"/>
      <c r="FK1327" s="2484"/>
      <c r="FL1327" s="2484"/>
      <c r="FM1327" s="2484"/>
      <c r="FN1327" s="2484"/>
      <c r="FO1327" s="2484"/>
      <c r="FP1327" s="2484"/>
      <c r="FQ1327" s="2484"/>
      <c r="FR1327" s="2484"/>
      <c r="FS1327" s="2484"/>
      <c r="FT1327" s="2484"/>
      <c r="FU1327" s="2484"/>
      <c r="FV1327" s="2484"/>
      <c r="FW1327" s="2484"/>
      <c r="FX1327" s="2484"/>
      <c r="FY1327" s="2484"/>
      <c r="FZ1327" s="2484"/>
      <c r="GA1327" s="2484"/>
      <c r="GB1327" s="2484"/>
      <c r="GC1327" s="2484"/>
      <c r="GD1327" s="2484"/>
      <c r="GE1327" s="2484"/>
      <c r="GF1327" s="2484"/>
      <c r="GG1327" s="2484"/>
      <c r="GH1327" s="2484"/>
      <c r="GI1327" s="2484"/>
      <c r="GJ1327" s="2484"/>
      <c r="GK1327" s="2484"/>
      <c r="GL1327" s="2484"/>
      <c r="GM1327" s="2484"/>
      <c r="GN1327" s="2484"/>
      <c r="GO1327" s="2484"/>
      <c r="GP1327" s="2484"/>
      <c r="GQ1327" s="2484"/>
      <c r="GR1327" s="2484"/>
      <c r="GS1327" s="2484"/>
      <c r="GT1327" s="2484"/>
      <c r="GU1327" s="2484"/>
      <c r="GV1327" s="2484"/>
      <c r="GW1327" s="2484"/>
      <c r="GX1327" s="2484"/>
      <c r="GY1327" s="2484"/>
      <c r="GZ1327" s="2484"/>
      <c r="HA1327" s="2484"/>
      <c r="HB1327" s="2484"/>
      <c r="HC1327" s="2484"/>
      <c r="HD1327" s="2484"/>
      <c r="HE1327" s="2484"/>
      <c r="HF1327" s="2484"/>
      <c r="HG1327" s="2484"/>
      <c r="HH1327" s="2484"/>
      <c r="HI1327" s="2484"/>
      <c r="HJ1327" s="2484"/>
      <c r="HK1327" s="2484"/>
      <c r="HL1327" s="2484"/>
      <c r="HM1327" s="2484"/>
      <c r="HN1327" s="2484"/>
      <c r="HO1327" s="2484"/>
      <c r="HP1327" s="2484"/>
      <c r="HQ1327" s="2484"/>
      <c r="HR1327" s="2484"/>
    </row>
    <row r="1328" spans="1:226" s="2485" customFormat="1" ht="15" customHeight="1">
      <c r="A1328" s="3140"/>
      <c r="B1328" s="3149"/>
      <c r="C1328" s="3145"/>
      <c r="D1328" s="3146"/>
      <c r="E1328" s="2489" t="s">
        <v>598</v>
      </c>
      <c r="F1328" s="2490">
        <f t="shared" si="124"/>
        <v>237</v>
      </c>
      <c r="G1328" s="2490"/>
      <c r="H1328" s="2490"/>
      <c r="I1328" s="2490">
        <v>237</v>
      </c>
      <c r="J1328" s="2491"/>
      <c r="K1328" s="2482"/>
    </row>
    <row r="1329" spans="1:11" s="2485" customFormat="1" ht="22.5">
      <c r="A1329" s="3140"/>
      <c r="B1329" s="3149"/>
      <c r="C1329" s="3145"/>
      <c r="D1329" s="3146"/>
      <c r="E1329" s="2497" t="s">
        <v>1094</v>
      </c>
      <c r="F1329" s="2498">
        <f>SUM(F1330:F1335)</f>
        <v>2700</v>
      </c>
      <c r="G1329" s="2498">
        <f>SUM(G1330:G1335)</f>
        <v>0</v>
      </c>
      <c r="H1329" s="2498">
        <f>SUM(H1330:H1335)</f>
        <v>2275</v>
      </c>
      <c r="I1329" s="2498">
        <f>SUM(I1330:I1335)</f>
        <v>425</v>
      </c>
      <c r="J1329" s="2499">
        <f>SUM(J1330:J1335)</f>
        <v>0</v>
      </c>
      <c r="K1329" s="2482"/>
    </row>
    <row r="1330" spans="1:11" s="2485" customFormat="1" ht="15" hidden="1" customHeight="1">
      <c r="A1330" s="3140"/>
      <c r="B1330" s="3149"/>
      <c r="C1330" s="3145"/>
      <c r="D1330" s="3146"/>
      <c r="E1330" s="2489" t="s">
        <v>651</v>
      </c>
      <c r="F1330" s="2490">
        <f t="shared" ref="F1330:F1335" si="125">SUM(G1330:J1330)</f>
        <v>0</v>
      </c>
      <c r="G1330" s="2490"/>
      <c r="H1330" s="2490"/>
      <c r="I1330" s="2490"/>
      <c r="J1330" s="2491"/>
      <c r="K1330" s="2482"/>
    </row>
    <row r="1331" spans="1:11" s="2485" customFormat="1" ht="15" hidden="1" customHeight="1">
      <c r="A1331" s="3140"/>
      <c r="B1331" s="3149"/>
      <c r="C1331" s="3145"/>
      <c r="D1331" s="3146"/>
      <c r="E1331" s="2489" t="s">
        <v>605</v>
      </c>
      <c r="F1331" s="2490">
        <f t="shared" si="125"/>
        <v>0</v>
      </c>
      <c r="G1331" s="2490"/>
      <c r="H1331" s="2490"/>
      <c r="I1331" s="2490"/>
      <c r="J1331" s="2491"/>
      <c r="K1331" s="2482"/>
    </row>
    <row r="1332" spans="1:11" s="2485" customFormat="1" ht="15" customHeight="1">
      <c r="A1332" s="3140"/>
      <c r="B1332" s="3149"/>
      <c r="C1332" s="3145"/>
      <c r="D1332" s="3146"/>
      <c r="E1332" s="2489" t="s">
        <v>653</v>
      </c>
      <c r="F1332" s="2490">
        <f t="shared" si="125"/>
        <v>1275</v>
      </c>
      <c r="G1332" s="2490"/>
      <c r="H1332" s="2490">
        <v>1275</v>
      </c>
      <c r="I1332" s="2490"/>
      <c r="J1332" s="2491"/>
      <c r="K1332" s="2482"/>
    </row>
    <row r="1333" spans="1:11" s="2485" customFormat="1" ht="15" customHeight="1">
      <c r="A1333" s="3140"/>
      <c r="B1333" s="3149"/>
      <c r="C1333" s="3145"/>
      <c r="D1333" s="3146"/>
      <c r="E1333" s="2489" t="s">
        <v>613</v>
      </c>
      <c r="F1333" s="2490">
        <f t="shared" si="125"/>
        <v>237</v>
      </c>
      <c r="G1333" s="2490"/>
      <c r="H1333" s="2490"/>
      <c r="I1333" s="2490">
        <v>237</v>
      </c>
      <c r="J1333" s="2491"/>
      <c r="K1333" s="2482"/>
    </row>
    <row r="1334" spans="1:11" s="2485" customFormat="1" ht="15" customHeight="1">
      <c r="A1334" s="3140"/>
      <c r="B1334" s="3149"/>
      <c r="C1334" s="3145"/>
      <c r="D1334" s="3146"/>
      <c r="E1334" s="2489" t="s">
        <v>901</v>
      </c>
      <c r="F1334" s="2490">
        <f t="shared" si="125"/>
        <v>1000</v>
      </c>
      <c r="G1334" s="2490"/>
      <c r="H1334" s="2490">
        <v>1000</v>
      </c>
      <c r="I1334" s="2490"/>
      <c r="J1334" s="2491"/>
      <c r="K1334" s="2482"/>
    </row>
    <row r="1335" spans="1:11" s="2485" customFormat="1" ht="15" customHeight="1">
      <c r="A1335" s="3140"/>
      <c r="B1335" s="3149"/>
      <c r="C1335" s="3145"/>
      <c r="D1335" s="3146"/>
      <c r="E1335" s="2489" t="s">
        <v>902</v>
      </c>
      <c r="F1335" s="2490">
        <f t="shared" si="125"/>
        <v>188</v>
      </c>
      <c r="G1335" s="2490"/>
      <c r="H1335" s="2490"/>
      <c r="I1335" s="2490">
        <v>188</v>
      </c>
      <c r="J1335" s="2491"/>
      <c r="K1335" s="2482"/>
    </row>
    <row r="1336" spans="1:11" s="2537" customFormat="1" ht="15" customHeight="1">
      <c r="A1336" s="3141"/>
      <c r="B1336" s="3150"/>
      <c r="C1336" s="3116"/>
      <c r="D1336" s="3118"/>
      <c r="E1336" s="2492" t="s">
        <v>1087</v>
      </c>
      <c r="F1336" s="2487">
        <f>SUM(F1337:F1338)</f>
        <v>0</v>
      </c>
      <c r="G1336" s="2487">
        <f>SUM(G1337:G1338)</f>
        <v>0</v>
      </c>
      <c r="H1336" s="2487">
        <f>SUM(H1337:H1338)</f>
        <v>0</v>
      </c>
      <c r="I1336" s="2487">
        <f>SUM(I1337:I1338)</f>
        <v>0</v>
      </c>
      <c r="J1336" s="2488">
        <f>SUM(J1337:J1338)</f>
        <v>0</v>
      </c>
      <c r="K1336" s="2536"/>
    </row>
    <row r="1337" spans="1:11" s="2537" customFormat="1" ht="15" hidden="1" customHeight="1">
      <c r="A1337" s="2500"/>
      <c r="B1337" s="2501"/>
      <c r="C1337" s="2493"/>
      <c r="D1337" s="2502"/>
      <c r="E1337" s="2489"/>
      <c r="F1337" s="2490">
        <f>SUM(G1337:J1337)</f>
        <v>0</v>
      </c>
      <c r="G1337" s="2490"/>
      <c r="H1337" s="2490"/>
      <c r="I1337" s="2490"/>
      <c r="J1337" s="2491"/>
      <c r="K1337" s="2536"/>
    </row>
    <row r="1338" spans="1:11" s="2295" customFormat="1" ht="15" hidden="1" customHeight="1">
      <c r="A1338" s="2500"/>
      <c r="B1338" s="2501"/>
      <c r="C1338" s="2493"/>
      <c r="D1338" s="2502"/>
      <c r="E1338" s="2503"/>
      <c r="F1338" s="2490">
        <f>SUM(G1338:J1338)</f>
        <v>0</v>
      </c>
      <c r="G1338" s="2490"/>
      <c r="H1338" s="2490"/>
      <c r="I1338" s="2490"/>
      <c r="J1338" s="2491"/>
      <c r="K1338" s="2538"/>
    </row>
    <row r="1339" spans="1:11" s="2485" customFormat="1" ht="22.5" customHeight="1">
      <c r="A1339" s="3139" t="s">
        <v>1095</v>
      </c>
      <c r="B1339" s="3148" t="s">
        <v>1203</v>
      </c>
      <c r="C1339" s="3115">
        <v>852</v>
      </c>
      <c r="D1339" s="3117" t="s">
        <v>896</v>
      </c>
      <c r="E1339" s="2479" t="s">
        <v>1086</v>
      </c>
      <c r="F1339" s="2480">
        <f>SUM(F1340,F1380)</f>
        <v>4416081</v>
      </c>
      <c r="G1339" s="2480">
        <f>SUM(G1340,G1380)</f>
        <v>0</v>
      </c>
      <c r="H1339" s="2480">
        <f>SUM(H1340,H1380)</f>
        <v>3721873</v>
      </c>
      <c r="I1339" s="2480">
        <f>SUM(I1340,I1380)</f>
        <v>694208</v>
      </c>
      <c r="J1339" s="2481">
        <f>SUM(J1340,J1380)</f>
        <v>0</v>
      </c>
      <c r="K1339" s="2482"/>
    </row>
    <row r="1340" spans="1:11" s="2485" customFormat="1" ht="21">
      <c r="A1340" s="3140"/>
      <c r="B1340" s="3149"/>
      <c r="C1340" s="3145"/>
      <c r="D1340" s="3146"/>
      <c r="E1340" s="2486" t="s">
        <v>1092</v>
      </c>
      <c r="F1340" s="2487">
        <f>SUM(F1341,F1344,F1355)</f>
        <v>4416081</v>
      </c>
      <c r="G1340" s="2487">
        <f>SUM(G1341,G1344,G1355)</f>
        <v>0</v>
      </c>
      <c r="H1340" s="2487">
        <f>SUM(H1341,H1344,H1355)</f>
        <v>3721873</v>
      </c>
      <c r="I1340" s="2487">
        <f>SUM(I1341,I1344,I1355)</f>
        <v>694208</v>
      </c>
      <c r="J1340" s="2488">
        <f>SUM(J1341,J1344,J1355)</f>
        <v>0</v>
      </c>
      <c r="K1340" s="2482"/>
    </row>
    <row r="1341" spans="1:11" s="2485" customFormat="1" ht="12">
      <c r="A1341" s="3140"/>
      <c r="B1341" s="3149"/>
      <c r="C1341" s="3145"/>
      <c r="D1341" s="3146"/>
      <c r="E1341" s="2497" t="s">
        <v>1109</v>
      </c>
      <c r="F1341" s="2498">
        <f>SUM(F1342:F1343)</f>
        <v>3206413</v>
      </c>
      <c r="G1341" s="2498">
        <f t="shared" ref="G1341:J1341" si="126">SUM(G1342:G1343)</f>
        <v>0</v>
      </c>
      <c r="H1341" s="2498">
        <f>SUM(H1342:H1343)</f>
        <v>2702365</v>
      </c>
      <c r="I1341" s="2498">
        <f t="shared" si="126"/>
        <v>504048</v>
      </c>
      <c r="J1341" s="2499">
        <f t="shared" si="126"/>
        <v>0</v>
      </c>
      <c r="K1341" s="2482"/>
    </row>
    <row r="1342" spans="1:11" s="2485" customFormat="1" ht="15" customHeight="1">
      <c r="A1342" s="3140"/>
      <c r="B1342" s="3149"/>
      <c r="C1342" s="3145"/>
      <c r="D1342" s="3146"/>
      <c r="E1342" s="2489" t="s">
        <v>418</v>
      </c>
      <c r="F1342" s="2490">
        <f>SUM(G1342:J1342)</f>
        <v>2702365</v>
      </c>
      <c r="G1342" s="2490"/>
      <c r="H1342" s="2490">
        <v>2702365</v>
      </c>
      <c r="I1342" s="2490"/>
      <c r="J1342" s="2491"/>
      <c r="K1342" s="2482"/>
    </row>
    <row r="1343" spans="1:11" s="2485" customFormat="1" ht="15" customHeight="1">
      <c r="A1343" s="3140"/>
      <c r="B1343" s="3149"/>
      <c r="C1343" s="3145"/>
      <c r="D1343" s="3146"/>
      <c r="E1343" s="2489" t="s">
        <v>328</v>
      </c>
      <c r="F1343" s="2490">
        <f>SUM(G1343:J1343)</f>
        <v>504048</v>
      </c>
      <c r="G1343" s="2490"/>
      <c r="H1343" s="2490"/>
      <c r="I1343" s="2490">
        <v>504048</v>
      </c>
      <c r="J1343" s="2491"/>
      <c r="K1343" s="2482"/>
    </row>
    <row r="1344" spans="1:11" s="2485" customFormat="1" ht="20.25" customHeight="1">
      <c r="A1344" s="3140"/>
      <c r="B1344" s="3149"/>
      <c r="C1344" s="3145"/>
      <c r="D1344" s="3146"/>
      <c r="E1344" s="2497" t="s">
        <v>1093</v>
      </c>
      <c r="F1344" s="2498">
        <f>SUM(F1345:F1354)</f>
        <v>739803</v>
      </c>
      <c r="G1344" s="2498">
        <f>SUM(G1345:G1354)</f>
        <v>0</v>
      </c>
      <c r="H1344" s="2498">
        <f>SUM(H1345:H1354)</f>
        <v>623505</v>
      </c>
      <c r="I1344" s="2498">
        <f>SUM(I1345:I1354)</f>
        <v>116298</v>
      </c>
      <c r="J1344" s="2499">
        <f>SUM(J1345:J1354)</f>
        <v>0</v>
      </c>
      <c r="K1344" s="2482"/>
    </row>
    <row r="1345" spans="1:226" s="2485" customFormat="1" ht="15" customHeight="1">
      <c r="A1345" s="3140"/>
      <c r="B1345" s="3149"/>
      <c r="C1345" s="3145"/>
      <c r="D1345" s="3146"/>
      <c r="E1345" s="2489" t="s">
        <v>647</v>
      </c>
      <c r="F1345" s="2490">
        <f t="shared" ref="F1345:F1354" si="127">SUM(G1345:J1345)</f>
        <v>267124</v>
      </c>
      <c r="G1345" s="2490"/>
      <c r="H1345" s="2490">
        <v>267124</v>
      </c>
      <c r="I1345" s="2490"/>
      <c r="J1345" s="2491"/>
      <c r="K1345" s="2482"/>
    </row>
    <row r="1346" spans="1:226" s="2485" customFormat="1" ht="15" customHeight="1">
      <c r="A1346" s="3140"/>
      <c r="B1346" s="3149"/>
      <c r="C1346" s="3145"/>
      <c r="D1346" s="3146"/>
      <c r="E1346" s="2489" t="s">
        <v>592</v>
      </c>
      <c r="F1346" s="2490">
        <f t="shared" si="127"/>
        <v>49824</v>
      </c>
      <c r="G1346" s="2490"/>
      <c r="H1346" s="2490"/>
      <c r="I1346" s="2490">
        <v>49824</v>
      </c>
      <c r="J1346" s="2491"/>
      <c r="K1346" s="2482"/>
    </row>
    <row r="1347" spans="1:226" s="2485" customFormat="1" ht="15" customHeight="1">
      <c r="A1347" s="3140"/>
      <c r="B1347" s="3149"/>
      <c r="C1347" s="3145"/>
      <c r="D1347" s="3146"/>
      <c r="E1347" s="2489" t="s">
        <v>648</v>
      </c>
      <c r="F1347" s="2490">
        <f t="shared" si="127"/>
        <v>17671</v>
      </c>
      <c r="G1347" s="2490"/>
      <c r="H1347" s="2490">
        <v>17671</v>
      </c>
      <c r="I1347" s="2490"/>
      <c r="J1347" s="2491"/>
      <c r="K1347" s="2482"/>
    </row>
    <row r="1348" spans="1:226" s="2485" customFormat="1" ht="15" customHeight="1">
      <c r="A1348" s="3140"/>
      <c r="B1348" s="3149"/>
      <c r="C1348" s="3145"/>
      <c r="D1348" s="3146"/>
      <c r="E1348" s="2489" t="s">
        <v>594</v>
      </c>
      <c r="F1348" s="2490">
        <f t="shared" si="127"/>
        <v>3297</v>
      </c>
      <c r="G1348" s="2490"/>
      <c r="H1348" s="2490"/>
      <c r="I1348" s="2490">
        <v>3297</v>
      </c>
      <c r="J1348" s="2491"/>
      <c r="K1348" s="2482"/>
    </row>
    <row r="1349" spans="1:226" s="2485" customFormat="1" ht="15" customHeight="1">
      <c r="A1349" s="3140"/>
      <c r="B1349" s="3149"/>
      <c r="C1349" s="3145"/>
      <c r="D1349" s="3146"/>
      <c r="E1349" s="2489" t="s">
        <v>649</v>
      </c>
      <c r="F1349" s="2490">
        <f t="shared" si="127"/>
        <v>57538</v>
      </c>
      <c r="G1349" s="2490"/>
      <c r="H1349" s="2490">
        <v>57538</v>
      </c>
      <c r="I1349" s="2490"/>
      <c r="J1349" s="2491"/>
      <c r="K1349" s="2495"/>
    </row>
    <row r="1350" spans="1:226" s="2485" customFormat="1" ht="15" customHeight="1">
      <c r="A1350" s="3140"/>
      <c r="B1350" s="3149"/>
      <c r="C1350" s="3145"/>
      <c r="D1350" s="3146"/>
      <c r="E1350" s="2489" t="s">
        <v>596</v>
      </c>
      <c r="F1350" s="2490">
        <f t="shared" si="127"/>
        <v>10732</v>
      </c>
      <c r="G1350" s="2490"/>
      <c r="H1350" s="2490"/>
      <c r="I1350" s="2490">
        <v>10732</v>
      </c>
      <c r="J1350" s="2491"/>
      <c r="K1350" s="2482"/>
    </row>
    <row r="1351" spans="1:226" s="2485" customFormat="1" ht="15" customHeight="1">
      <c r="A1351" s="3140"/>
      <c r="B1351" s="3149"/>
      <c r="C1351" s="3145"/>
      <c r="D1351" s="3146"/>
      <c r="E1351" s="2489" t="s">
        <v>650</v>
      </c>
      <c r="F1351" s="2490">
        <f t="shared" si="127"/>
        <v>8326</v>
      </c>
      <c r="G1351" s="2490"/>
      <c r="H1351" s="2490">
        <v>8326</v>
      </c>
      <c r="I1351" s="2490"/>
      <c r="J1351" s="2491"/>
      <c r="K1351" s="2482"/>
    </row>
    <row r="1352" spans="1:226" s="2485" customFormat="1" ht="15" customHeight="1">
      <c r="A1352" s="3140"/>
      <c r="B1352" s="3149"/>
      <c r="C1352" s="3145"/>
      <c r="D1352" s="3146"/>
      <c r="E1352" s="2489" t="s">
        <v>598</v>
      </c>
      <c r="F1352" s="2490">
        <f t="shared" si="127"/>
        <v>1553</v>
      </c>
      <c r="G1352" s="2490"/>
      <c r="H1352" s="2490"/>
      <c r="I1352" s="2490">
        <v>1553</v>
      </c>
      <c r="J1352" s="2491"/>
      <c r="K1352" s="2482"/>
    </row>
    <row r="1353" spans="1:226" s="2485" customFormat="1" ht="15" customHeight="1">
      <c r="A1353" s="3140"/>
      <c r="B1353" s="3149"/>
      <c r="C1353" s="3145"/>
      <c r="D1353" s="3146"/>
      <c r="E1353" s="2489" t="s">
        <v>726</v>
      </c>
      <c r="F1353" s="2490">
        <f t="shared" si="127"/>
        <v>272846</v>
      </c>
      <c r="G1353" s="2490"/>
      <c r="H1353" s="2490">
        <v>272846</v>
      </c>
      <c r="I1353" s="2490"/>
      <c r="J1353" s="2491"/>
      <c r="K1353" s="2482"/>
      <c r="L1353" s="2484"/>
      <c r="M1353" s="2484"/>
      <c r="N1353" s="2484"/>
      <c r="O1353" s="2484"/>
      <c r="P1353" s="2484"/>
      <c r="Q1353" s="2484"/>
      <c r="R1353" s="2484"/>
      <c r="S1353" s="2484"/>
      <c r="T1353" s="2484"/>
      <c r="U1353" s="2484"/>
      <c r="V1353" s="2484"/>
      <c r="W1353" s="2484"/>
      <c r="X1353" s="2484"/>
      <c r="Y1353" s="2484"/>
      <c r="Z1353" s="2484"/>
      <c r="AA1353" s="2484"/>
      <c r="AB1353" s="2484"/>
      <c r="AC1353" s="2484"/>
      <c r="AD1353" s="2484"/>
      <c r="AE1353" s="2484"/>
      <c r="AF1353" s="2484"/>
      <c r="AG1353" s="2484"/>
      <c r="AH1353" s="2484"/>
      <c r="AI1353" s="2484"/>
      <c r="AJ1353" s="2484"/>
      <c r="AK1353" s="2484"/>
      <c r="AL1353" s="2484"/>
      <c r="AM1353" s="2484"/>
      <c r="AN1353" s="2484"/>
      <c r="AO1353" s="2484"/>
      <c r="AP1353" s="2484"/>
      <c r="AQ1353" s="2484"/>
      <c r="AR1353" s="2484"/>
      <c r="AS1353" s="2484"/>
      <c r="AT1353" s="2484"/>
      <c r="AU1353" s="2484"/>
      <c r="AV1353" s="2484"/>
      <c r="AW1353" s="2484"/>
      <c r="AX1353" s="2484"/>
      <c r="AY1353" s="2484"/>
      <c r="AZ1353" s="2484"/>
      <c r="BA1353" s="2484"/>
      <c r="BB1353" s="2484"/>
      <c r="BC1353" s="2484"/>
      <c r="BD1353" s="2484"/>
      <c r="BE1353" s="2484"/>
      <c r="BF1353" s="2484"/>
      <c r="BG1353" s="2484"/>
      <c r="BH1353" s="2484"/>
      <c r="BI1353" s="2484"/>
      <c r="BJ1353" s="2484"/>
      <c r="BK1353" s="2484"/>
      <c r="BL1353" s="2484"/>
      <c r="BM1353" s="2484"/>
      <c r="BN1353" s="2484"/>
      <c r="BO1353" s="2484"/>
      <c r="BP1353" s="2484"/>
      <c r="BQ1353" s="2484"/>
      <c r="BR1353" s="2484"/>
      <c r="BS1353" s="2484"/>
      <c r="BT1353" s="2484"/>
      <c r="BU1353" s="2484"/>
      <c r="BV1353" s="2484"/>
      <c r="BW1353" s="2484"/>
      <c r="BX1353" s="2484"/>
      <c r="BY1353" s="2484"/>
      <c r="BZ1353" s="2484"/>
      <c r="CA1353" s="2484"/>
      <c r="CB1353" s="2484"/>
      <c r="CC1353" s="2484"/>
      <c r="CD1353" s="2484"/>
      <c r="CE1353" s="2484"/>
      <c r="CF1353" s="2484"/>
      <c r="CG1353" s="2484"/>
      <c r="CH1353" s="2484"/>
      <c r="CI1353" s="2484"/>
      <c r="CJ1353" s="2484"/>
      <c r="CK1353" s="2484"/>
      <c r="CL1353" s="2484"/>
      <c r="CM1353" s="2484"/>
      <c r="CN1353" s="2484"/>
      <c r="CO1353" s="2484"/>
      <c r="CP1353" s="2484"/>
      <c r="CQ1353" s="2484"/>
      <c r="CR1353" s="2484"/>
      <c r="CS1353" s="2484"/>
      <c r="CT1353" s="2484"/>
      <c r="CU1353" s="2484"/>
      <c r="CV1353" s="2484"/>
      <c r="CW1353" s="2484"/>
      <c r="CX1353" s="2484"/>
      <c r="CY1353" s="2484"/>
      <c r="CZ1353" s="2484"/>
      <c r="DA1353" s="2484"/>
      <c r="DB1353" s="2484"/>
      <c r="DC1353" s="2484"/>
      <c r="DD1353" s="2484"/>
      <c r="DE1353" s="2484"/>
      <c r="DF1353" s="2484"/>
      <c r="DG1353" s="2484"/>
      <c r="DH1353" s="2484"/>
      <c r="DI1353" s="2484"/>
      <c r="DJ1353" s="2484"/>
      <c r="DK1353" s="2484"/>
      <c r="DL1353" s="2484"/>
      <c r="DM1353" s="2484"/>
      <c r="DN1353" s="2484"/>
      <c r="DO1353" s="2484"/>
      <c r="DP1353" s="2484"/>
      <c r="DQ1353" s="2484"/>
      <c r="DR1353" s="2484"/>
      <c r="DS1353" s="2484"/>
      <c r="DT1353" s="2484"/>
      <c r="DU1353" s="2484"/>
      <c r="DV1353" s="2484"/>
      <c r="DW1353" s="2484"/>
      <c r="DX1353" s="2484"/>
      <c r="DY1353" s="2484"/>
      <c r="DZ1353" s="2484"/>
      <c r="EA1353" s="2484"/>
      <c r="EB1353" s="2484"/>
      <c r="EC1353" s="2484"/>
      <c r="ED1353" s="2484"/>
      <c r="EE1353" s="2484"/>
      <c r="EF1353" s="2484"/>
      <c r="EG1353" s="2484"/>
      <c r="EH1353" s="2484"/>
      <c r="EI1353" s="2484"/>
      <c r="EJ1353" s="2484"/>
      <c r="EK1353" s="2484"/>
      <c r="EL1353" s="2484"/>
      <c r="EM1353" s="2484"/>
      <c r="EN1353" s="2484"/>
      <c r="EO1353" s="2484"/>
      <c r="EP1353" s="2484"/>
      <c r="EQ1353" s="2484"/>
      <c r="ER1353" s="2484"/>
      <c r="ES1353" s="2484"/>
      <c r="ET1353" s="2484"/>
      <c r="EU1353" s="2484"/>
      <c r="EV1353" s="2484"/>
      <c r="EW1353" s="2484"/>
      <c r="EX1353" s="2484"/>
      <c r="EY1353" s="2484"/>
      <c r="EZ1353" s="2484"/>
      <c r="FA1353" s="2484"/>
      <c r="FB1353" s="2484"/>
      <c r="FC1353" s="2484"/>
      <c r="FD1353" s="2484"/>
      <c r="FE1353" s="2484"/>
      <c r="FF1353" s="2484"/>
      <c r="FG1353" s="2484"/>
      <c r="FH1353" s="2484"/>
      <c r="FI1353" s="2484"/>
      <c r="FJ1353" s="2484"/>
      <c r="FK1353" s="2484"/>
      <c r="FL1353" s="2484"/>
      <c r="FM1353" s="2484"/>
      <c r="FN1353" s="2484"/>
      <c r="FO1353" s="2484"/>
      <c r="FP1353" s="2484"/>
      <c r="FQ1353" s="2484"/>
      <c r="FR1353" s="2484"/>
      <c r="FS1353" s="2484"/>
      <c r="FT1353" s="2484"/>
      <c r="FU1353" s="2484"/>
      <c r="FV1353" s="2484"/>
      <c r="FW1353" s="2484"/>
      <c r="FX1353" s="2484"/>
      <c r="FY1353" s="2484"/>
      <c r="FZ1353" s="2484"/>
      <c r="GA1353" s="2484"/>
      <c r="GB1353" s="2484"/>
      <c r="GC1353" s="2484"/>
      <c r="GD1353" s="2484"/>
      <c r="GE1353" s="2484"/>
      <c r="GF1353" s="2484"/>
      <c r="GG1353" s="2484"/>
      <c r="GH1353" s="2484"/>
      <c r="GI1353" s="2484"/>
      <c r="GJ1353" s="2484"/>
      <c r="GK1353" s="2484"/>
      <c r="GL1353" s="2484"/>
      <c r="GM1353" s="2484"/>
      <c r="GN1353" s="2484"/>
      <c r="GO1353" s="2484"/>
      <c r="GP1353" s="2484"/>
      <c r="GQ1353" s="2484"/>
      <c r="GR1353" s="2484"/>
      <c r="GS1353" s="2484"/>
      <c r="GT1353" s="2484"/>
      <c r="GU1353" s="2484"/>
      <c r="GV1353" s="2484"/>
      <c r="GW1353" s="2484"/>
      <c r="GX1353" s="2484"/>
      <c r="GY1353" s="2484"/>
      <c r="GZ1353" s="2484"/>
      <c r="HA1353" s="2484"/>
      <c r="HB1353" s="2484"/>
      <c r="HC1353" s="2484"/>
      <c r="HD1353" s="2484"/>
      <c r="HE1353" s="2484"/>
      <c r="HF1353" s="2484"/>
      <c r="HG1353" s="2484"/>
      <c r="HH1353" s="2484"/>
      <c r="HI1353" s="2484"/>
      <c r="HJ1353" s="2484"/>
      <c r="HK1353" s="2484"/>
      <c r="HL1353" s="2484"/>
      <c r="HM1353" s="2484"/>
      <c r="HN1353" s="2484"/>
      <c r="HO1353" s="2484"/>
      <c r="HP1353" s="2484"/>
      <c r="HQ1353" s="2484"/>
      <c r="HR1353" s="2484"/>
    </row>
    <row r="1354" spans="1:226" s="2485" customFormat="1" ht="15" customHeight="1">
      <c r="A1354" s="3140"/>
      <c r="B1354" s="3149"/>
      <c r="C1354" s="3145"/>
      <c r="D1354" s="3146"/>
      <c r="E1354" s="2489" t="s">
        <v>600</v>
      </c>
      <c r="F1354" s="2490">
        <f t="shared" si="127"/>
        <v>50892</v>
      </c>
      <c r="G1354" s="2490"/>
      <c r="H1354" s="2490"/>
      <c r="I1354" s="2490">
        <v>50892</v>
      </c>
      <c r="J1354" s="2491"/>
      <c r="K1354" s="2482"/>
    </row>
    <row r="1355" spans="1:226" s="2485" customFormat="1" ht="20.25" customHeight="1">
      <c r="A1355" s="3140"/>
      <c r="B1355" s="3149"/>
      <c r="C1355" s="3145"/>
      <c r="D1355" s="3146"/>
      <c r="E1355" s="2497" t="s">
        <v>1094</v>
      </c>
      <c r="F1355" s="2498">
        <f>SUM(F1356:F1379)</f>
        <v>469865</v>
      </c>
      <c r="G1355" s="2498">
        <f>SUM(G1356:G1379)</f>
        <v>0</v>
      </c>
      <c r="H1355" s="2498">
        <f>SUM(H1356:H1379)</f>
        <v>396003</v>
      </c>
      <c r="I1355" s="2498">
        <f>SUM(I1356:I1379)</f>
        <v>73862</v>
      </c>
      <c r="J1355" s="2499">
        <f>SUM(J1356:J1379)</f>
        <v>0</v>
      </c>
      <c r="K1355" s="2482"/>
    </row>
    <row r="1356" spans="1:226" s="2485" customFormat="1" ht="15" customHeight="1">
      <c r="A1356" s="3140"/>
      <c r="B1356" s="3149"/>
      <c r="C1356" s="3145"/>
      <c r="D1356" s="3146"/>
      <c r="E1356" s="2489" t="s">
        <v>651</v>
      </c>
      <c r="F1356" s="2490">
        <f t="shared" ref="F1356:F1379" si="128">SUM(G1356:J1356)</f>
        <v>6658</v>
      </c>
      <c r="G1356" s="2490"/>
      <c r="H1356" s="2490">
        <v>6658</v>
      </c>
      <c r="I1356" s="2490"/>
      <c r="J1356" s="2491"/>
      <c r="K1356" s="2482"/>
    </row>
    <row r="1357" spans="1:226" s="2485" customFormat="1" ht="15" customHeight="1">
      <c r="A1357" s="3140"/>
      <c r="B1357" s="3149"/>
      <c r="C1357" s="3145"/>
      <c r="D1357" s="3146"/>
      <c r="E1357" s="2489" t="s">
        <v>605</v>
      </c>
      <c r="F1357" s="2490">
        <f t="shared" si="128"/>
        <v>1242</v>
      </c>
      <c r="G1357" s="2490"/>
      <c r="H1357" s="2490"/>
      <c r="I1357" s="2490">
        <v>1242</v>
      </c>
      <c r="J1357" s="2491"/>
      <c r="K1357" s="2482"/>
    </row>
    <row r="1358" spans="1:226" s="2485" customFormat="1" ht="15" customHeight="1">
      <c r="A1358" s="3140"/>
      <c r="B1358" s="3149"/>
      <c r="C1358" s="3145"/>
      <c r="D1358" s="3146"/>
      <c r="E1358" s="2489" t="s">
        <v>840</v>
      </c>
      <c r="F1358" s="2490">
        <f t="shared" si="128"/>
        <v>1037</v>
      </c>
      <c r="G1358" s="2490"/>
      <c r="H1358" s="2490">
        <v>1037</v>
      </c>
      <c r="I1358" s="2490"/>
      <c r="J1358" s="2491"/>
      <c r="K1358" s="2482"/>
    </row>
    <row r="1359" spans="1:226" s="2485" customFormat="1" ht="15" customHeight="1">
      <c r="A1359" s="3140"/>
      <c r="B1359" s="3149"/>
      <c r="C1359" s="3145"/>
      <c r="D1359" s="3146"/>
      <c r="E1359" s="2489" t="s">
        <v>773</v>
      </c>
      <c r="F1359" s="2490">
        <f t="shared" si="128"/>
        <v>194</v>
      </c>
      <c r="G1359" s="2490"/>
      <c r="H1359" s="2490"/>
      <c r="I1359" s="2490">
        <v>194</v>
      </c>
      <c r="J1359" s="2491"/>
      <c r="K1359" s="2482"/>
    </row>
    <row r="1360" spans="1:226" s="2485" customFormat="1" ht="15" customHeight="1">
      <c r="A1360" s="3140"/>
      <c r="B1360" s="3149"/>
      <c r="C1360" s="3145"/>
      <c r="D1360" s="3146"/>
      <c r="E1360" s="2489" t="s">
        <v>841</v>
      </c>
      <c r="F1360" s="2490">
        <f t="shared" si="128"/>
        <v>5985</v>
      </c>
      <c r="G1360" s="2490"/>
      <c r="H1360" s="2490">
        <v>5985</v>
      </c>
      <c r="I1360" s="2490"/>
      <c r="J1360" s="2491"/>
      <c r="K1360" s="2482"/>
    </row>
    <row r="1361" spans="1:11" s="2485" customFormat="1" ht="15" customHeight="1">
      <c r="A1361" s="3140"/>
      <c r="B1361" s="3149"/>
      <c r="C1361" s="3145"/>
      <c r="D1361" s="3146"/>
      <c r="E1361" s="2489" t="s">
        <v>747</v>
      </c>
      <c r="F1361" s="2490">
        <f t="shared" si="128"/>
        <v>1117</v>
      </c>
      <c r="G1361" s="2490"/>
      <c r="H1361" s="2490"/>
      <c r="I1361" s="2490">
        <v>1117</v>
      </c>
      <c r="J1361" s="2491"/>
      <c r="K1361" s="2482"/>
    </row>
    <row r="1362" spans="1:11" s="2485" customFormat="1" ht="15" customHeight="1">
      <c r="A1362" s="3140"/>
      <c r="B1362" s="3149"/>
      <c r="C1362" s="3145"/>
      <c r="D1362" s="3146"/>
      <c r="E1362" s="2489" t="s">
        <v>899</v>
      </c>
      <c r="F1362" s="2490">
        <f t="shared" si="128"/>
        <v>1517</v>
      </c>
      <c r="G1362" s="2490"/>
      <c r="H1362" s="2490">
        <v>1517</v>
      </c>
      <c r="I1362" s="2490"/>
      <c r="J1362" s="2491"/>
      <c r="K1362" s="2482"/>
    </row>
    <row r="1363" spans="1:11" s="2485" customFormat="1" ht="15" customHeight="1">
      <c r="A1363" s="3140"/>
      <c r="B1363" s="3149"/>
      <c r="C1363" s="3145"/>
      <c r="D1363" s="3146"/>
      <c r="E1363" s="2489" t="s">
        <v>749</v>
      </c>
      <c r="F1363" s="2490">
        <f t="shared" si="128"/>
        <v>283</v>
      </c>
      <c r="G1363" s="2490"/>
      <c r="H1363" s="2490"/>
      <c r="I1363" s="2490">
        <v>283</v>
      </c>
      <c r="J1363" s="2491"/>
      <c r="K1363" s="2482"/>
    </row>
    <row r="1364" spans="1:11" s="2485" customFormat="1" ht="15" customHeight="1">
      <c r="A1364" s="3140"/>
      <c r="B1364" s="3149"/>
      <c r="C1364" s="3145"/>
      <c r="D1364" s="3146"/>
      <c r="E1364" s="2489" t="s">
        <v>652</v>
      </c>
      <c r="F1364" s="2490">
        <f t="shared" si="128"/>
        <v>327239</v>
      </c>
      <c r="G1364" s="2490"/>
      <c r="H1364" s="2490">
        <v>327239</v>
      </c>
      <c r="I1364" s="2490"/>
      <c r="J1364" s="2491"/>
      <c r="K1364" s="2482"/>
    </row>
    <row r="1365" spans="1:11" s="2485" customFormat="1" ht="15" customHeight="1">
      <c r="A1365" s="3140"/>
      <c r="B1365" s="3149"/>
      <c r="C1365" s="3145"/>
      <c r="D1365" s="3146"/>
      <c r="E1365" s="2489" t="s">
        <v>609</v>
      </c>
      <c r="F1365" s="2490">
        <f t="shared" si="128"/>
        <v>61035</v>
      </c>
      <c r="G1365" s="2490"/>
      <c r="H1365" s="2490"/>
      <c r="I1365" s="2490">
        <v>61035</v>
      </c>
      <c r="J1365" s="2491"/>
      <c r="K1365" s="2482"/>
    </row>
    <row r="1366" spans="1:11" s="2485" customFormat="1" ht="15" customHeight="1">
      <c r="A1366" s="3140"/>
      <c r="B1366" s="3149"/>
      <c r="C1366" s="3145"/>
      <c r="D1366" s="3146"/>
      <c r="E1366" s="2489" t="s">
        <v>845</v>
      </c>
      <c r="F1366" s="2490">
        <f t="shared" si="128"/>
        <v>3371</v>
      </c>
      <c r="G1366" s="2490"/>
      <c r="H1366" s="2490">
        <v>3371</v>
      </c>
      <c r="I1366" s="2490"/>
      <c r="J1366" s="2491"/>
      <c r="K1366" s="2482"/>
    </row>
    <row r="1367" spans="1:11" s="2485" customFormat="1" ht="15" customHeight="1">
      <c r="A1367" s="3140"/>
      <c r="B1367" s="3149"/>
      <c r="C1367" s="3145"/>
      <c r="D1367" s="3146"/>
      <c r="E1367" s="2489" t="s">
        <v>774</v>
      </c>
      <c r="F1367" s="2490">
        <f t="shared" si="128"/>
        <v>629</v>
      </c>
      <c r="G1367" s="2490"/>
      <c r="H1367" s="2490"/>
      <c r="I1367" s="2490">
        <v>629</v>
      </c>
      <c r="J1367" s="2491"/>
      <c r="K1367" s="2482"/>
    </row>
    <row r="1368" spans="1:11" s="2485" customFormat="1" ht="15" customHeight="1">
      <c r="A1368" s="3140"/>
      <c r="B1368" s="3149"/>
      <c r="C1368" s="3145"/>
      <c r="D1368" s="3146"/>
      <c r="E1368" s="2489" t="s">
        <v>729</v>
      </c>
      <c r="F1368" s="2490">
        <f t="shared" si="128"/>
        <v>28824</v>
      </c>
      <c r="G1368" s="2490"/>
      <c r="H1368" s="2490">
        <v>28824</v>
      </c>
      <c r="I1368" s="2490"/>
      <c r="J1368" s="2491"/>
      <c r="K1368" s="2482"/>
    </row>
    <row r="1369" spans="1:11" s="2485" customFormat="1" ht="15" customHeight="1">
      <c r="A1369" s="3140"/>
      <c r="B1369" s="3149"/>
      <c r="C1369" s="3145"/>
      <c r="D1369" s="3146"/>
      <c r="E1369" s="2489" t="s">
        <v>611</v>
      </c>
      <c r="F1369" s="2490">
        <f t="shared" si="128"/>
        <v>5376</v>
      </c>
      <c r="G1369" s="2490"/>
      <c r="H1369" s="2490"/>
      <c r="I1369" s="2490">
        <v>5376</v>
      </c>
      <c r="J1369" s="2491"/>
      <c r="K1369" s="2482"/>
    </row>
    <row r="1370" spans="1:11" s="2485" customFormat="1" ht="15" customHeight="1">
      <c r="A1370" s="3140"/>
      <c r="B1370" s="3149"/>
      <c r="C1370" s="3145"/>
      <c r="D1370" s="3146"/>
      <c r="E1370" s="2489" t="s">
        <v>653</v>
      </c>
      <c r="F1370" s="2490">
        <f t="shared" si="128"/>
        <v>13653</v>
      </c>
      <c r="G1370" s="2490"/>
      <c r="H1370" s="2490">
        <v>13653</v>
      </c>
      <c r="I1370" s="2490"/>
      <c r="J1370" s="2491"/>
      <c r="K1370" s="2482"/>
    </row>
    <row r="1371" spans="1:11" s="2485" customFormat="1" ht="15" customHeight="1">
      <c r="A1371" s="3140"/>
      <c r="B1371" s="3149"/>
      <c r="C1371" s="3145"/>
      <c r="D1371" s="3146"/>
      <c r="E1371" s="2489" t="s">
        <v>613</v>
      </c>
      <c r="F1371" s="2490">
        <f t="shared" si="128"/>
        <v>2547</v>
      </c>
      <c r="G1371" s="2490"/>
      <c r="H1371" s="2490"/>
      <c r="I1371" s="2490">
        <v>2547</v>
      </c>
      <c r="J1371" s="2491"/>
      <c r="K1371" s="2482"/>
    </row>
    <row r="1372" spans="1:11" s="2485" customFormat="1" ht="15" customHeight="1">
      <c r="A1372" s="3140"/>
      <c r="B1372" s="3149"/>
      <c r="C1372" s="3145"/>
      <c r="D1372" s="3146"/>
      <c r="E1372" s="2489" t="s">
        <v>901</v>
      </c>
      <c r="F1372" s="2490">
        <f t="shared" si="128"/>
        <v>6033</v>
      </c>
      <c r="G1372" s="2490"/>
      <c r="H1372" s="2490">
        <v>6033</v>
      </c>
      <c r="I1372" s="2490"/>
      <c r="J1372" s="2491"/>
      <c r="K1372" s="2482"/>
    </row>
    <row r="1373" spans="1:11" s="2485" customFormat="1" ht="15" customHeight="1">
      <c r="A1373" s="3140"/>
      <c r="B1373" s="3149"/>
      <c r="C1373" s="3145"/>
      <c r="D1373" s="3146"/>
      <c r="E1373" s="2489" t="s">
        <v>902</v>
      </c>
      <c r="F1373" s="2490">
        <f t="shared" si="128"/>
        <v>1125</v>
      </c>
      <c r="G1373" s="2490"/>
      <c r="H1373" s="2490"/>
      <c r="I1373" s="2490">
        <v>1125</v>
      </c>
      <c r="J1373" s="2491"/>
      <c r="K1373" s="2482"/>
    </row>
    <row r="1374" spans="1:11" s="2485" customFormat="1" ht="15" customHeight="1">
      <c r="A1374" s="3140"/>
      <c r="B1374" s="3149"/>
      <c r="C1374" s="3145"/>
      <c r="D1374" s="3146"/>
      <c r="E1374" s="2489" t="s">
        <v>903</v>
      </c>
      <c r="F1374" s="2490">
        <f t="shared" si="128"/>
        <v>843</v>
      </c>
      <c r="G1374" s="2490"/>
      <c r="H1374" s="2490">
        <v>843</v>
      </c>
      <c r="I1374" s="2490"/>
      <c r="J1374" s="2491"/>
      <c r="K1374" s="2482"/>
    </row>
    <row r="1375" spans="1:11" s="2485" customFormat="1" ht="15" customHeight="1">
      <c r="A1375" s="3140"/>
      <c r="B1375" s="3149"/>
      <c r="C1375" s="3145"/>
      <c r="D1375" s="3146"/>
      <c r="E1375" s="2489" t="s">
        <v>904</v>
      </c>
      <c r="F1375" s="2490">
        <f t="shared" si="128"/>
        <v>157</v>
      </c>
      <c r="G1375" s="2490"/>
      <c r="H1375" s="2490"/>
      <c r="I1375" s="2490">
        <v>157</v>
      </c>
      <c r="J1375" s="2491"/>
      <c r="K1375" s="2482"/>
    </row>
    <row r="1376" spans="1:11" s="2485" customFormat="1" ht="15" customHeight="1">
      <c r="A1376" s="3140"/>
      <c r="B1376" s="3149"/>
      <c r="C1376" s="3145"/>
      <c r="D1376" s="3146"/>
      <c r="E1376" s="2489" t="s">
        <v>905</v>
      </c>
      <c r="F1376" s="2490">
        <f t="shared" si="128"/>
        <v>843</v>
      </c>
      <c r="G1376" s="2490"/>
      <c r="H1376" s="2490">
        <v>843</v>
      </c>
      <c r="I1376" s="2490"/>
      <c r="J1376" s="2491"/>
      <c r="K1376" s="2482"/>
    </row>
    <row r="1377" spans="1:11" s="2485" customFormat="1" ht="15" customHeight="1">
      <c r="A1377" s="3140"/>
      <c r="B1377" s="3149"/>
      <c r="C1377" s="3145"/>
      <c r="D1377" s="3146"/>
      <c r="E1377" s="2489" t="s">
        <v>755</v>
      </c>
      <c r="F1377" s="2490">
        <f t="shared" si="128"/>
        <v>157</v>
      </c>
      <c r="G1377" s="2490"/>
      <c r="H1377" s="2490"/>
      <c r="I1377" s="2490">
        <v>157</v>
      </c>
      <c r="J1377" s="2491"/>
      <c r="K1377" s="2482"/>
    </row>
    <row r="1378" spans="1:11" s="2485" customFormat="1" ht="15" hidden="1" customHeight="1">
      <c r="A1378" s="3140"/>
      <c r="B1378" s="3149"/>
      <c r="C1378" s="3145"/>
      <c r="D1378" s="3146"/>
      <c r="E1378" s="2489" t="s">
        <v>654</v>
      </c>
      <c r="F1378" s="2490">
        <f t="shared" si="128"/>
        <v>0</v>
      </c>
      <c r="G1378" s="2490"/>
      <c r="H1378" s="2490"/>
      <c r="I1378" s="2490"/>
      <c r="J1378" s="2491"/>
      <c r="K1378" s="2482"/>
    </row>
    <row r="1379" spans="1:11" s="2485" customFormat="1" ht="15" hidden="1" customHeight="1">
      <c r="A1379" s="3140"/>
      <c r="B1379" s="3149"/>
      <c r="C1379" s="3145"/>
      <c r="D1379" s="3146"/>
      <c r="E1379" s="2489" t="s">
        <v>617</v>
      </c>
      <c r="F1379" s="2490">
        <f t="shared" si="128"/>
        <v>0</v>
      </c>
      <c r="G1379" s="2490"/>
      <c r="H1379" s="2490"/>
      <c r="I1379" s="2490"/>
      <c r="J1379" s="2491"/>
      <c r="K1379" s="2482"/>
    </row>
    <row r="1380" spans="1:11" s="2537" customFormat="1">
      <c r="A1380" s="3141"/>
      <c r="B1380" s="3150"/>
      <c r="C1380" s="3116"/>
      <c r="D1380" s="3118"/>
      <c r="E1380" s="2492" t="s">
        <v>1087</v>
      </c>
      <c r="F1380" s="2487">
        <f>SUM(F1381:F1382)</f>
        <v>0</v>
      </c>
      <c r="G1380" s="2487">
        <f>SUM(G1381:G1382)</f>
        <v>0</v>
      </c>
      <c r="H1380" s="2487">
        <f>SUM(H1381:H1382)</f>
        <v>0</v>
      </c>
      <c r="I1380" s="2487">
        <f>SUM(I1381:I1382)</f>
        <v>0</v>
      </c>
      <c r="J1380" s="2488">
        <f>SUM(J1381:J1382)</f>
        <v>0</v>
      </c>
      <c r="K1380" s="2536"/>
    </row>
    <row r="1381" spans="1:11" s="2537" customFormat="1" ht="15" hidden="1" customHeight="1">
      <c r="A1381" s="2500"/>
      <c r="B1381" s="2501"/>
      <c r="C1381" s="2493"/>
      <c r="D1381" s="2502"/>
      <c r="E1381" s="2489"/>
      <c r="F1381" s="2490">
        <f>SUM(G1381:J1381)</f>
        <v>0</v>
      </c>
      <c r="G1381" s="2490"/>
      <c r="H1381" s="2490"/>
      <c r="I1381" s="2490"/>
      <c r="J1381" s="2491"/>
      <c r="K1381" s="2536"/>
    </row>
    <row r="1382" spans="1:11" s="2295" customFormat="1" ht="15" hidden="1" customHeight="1">
      <c r="A1382" s="2500"/>
      <c r="B1382" s="2501"/>
      <c r="C1382" s="2493"/>
      <c r="D1382" s="2502"/>
      <c r="E1382" s="2503"/>
      <c r="F1382" s="2490">
        <f>SUM(G1382:J1382)</f>
        <v>0</v>
      </c>
      <c r="G1382" s="2490"/>
      <c r="H1382" s="2490"/>
      <c r="I1382" s="2490"/>
      <c r="J1382" s="2491"/>
      <c r="K1382" s="2538"/>
    </row>
    <row r="1383" spans="1:11" s="2485" customFormat="1" ht="22.5">
      <c r="A1383" s="3112" t="s">
        <v>1097</v>
      </c>
      <c r="B1383" s="3113" t="s">
        <v>1204</v>
      </c>
      <c r="C1383" s="3114">
        <v>852</v>
      </c>
      <c r="D1383" s="3134" t="s">
        <v>896</v>
      </c>
      <c r="E1383" s="2479" t="s">
        <v>1086</v>
      </c>
      <c r="F1383" s="2480">
        <f>SUM(F1384,F1407)</f>
        <v>141509</v>
      </c>
      <c r="G1383" s="2480">
        <f>SUM(G1384,G1407)</f>
        <v>141509</v>
      </c>
      <c r="H1383" s="2480">
        <f>SUM(H1384,H1407)</f>
        <v>0</v>
      </c>
      <c r="I1383" s="2480">
        <f>SUM(I1384,I1407)</f>
        <v>0</v>
      </c>
      <c r="J1383" s="2481">
        <f>SUM(J1384,J1407)</f>
        <v>0</v>
      </c>
      <c r="K1383" s="2482"/>
    </row>
    <row r="1384" spans="1:11" s="2485" customFormat="1" ht="21">
      <c r="A1384" s="3112"/>
      <c r="B1384" s="3113"/>
      <c r="C1384" s="3114"/>
      <c r="D1384" s="3134"/>
      <c r="E1384" s="2486" t="s">
        <v>1092</v>
      </c>
      <c r="F1384" s="2487">
        <f>SUM(F1385,F1387,F1396)</f>
        <v>141509</v>
      </c>
      <c r="G1384" s="2487">
        <f>SUM(G1385,G1387,G1396)</f>
        <v>141509</v>
      </c>
      <c r="H1384" s="2487">
        <f>SUM(H1385,H1387,H1396)</f>
        <v>0</v>
      </c>
      <c r="I1384" s="2487">
        <f>SUM(I1385,I1387,I1396)</f>
        <v>0</v>
      </c>
      <c r="J1384" s="2488">
        <f>SUM(J1385,J1387,J1396)</f>
        <v>0</v>
      </c>
      <c r="K1384" s="2482"/>
    </row>
    <row r="1385" spans="1:11" s="2485" customFormat="1" ht="15" hidden="1" customHeight="1">
      <c r="A1385" s="3112"/>
      <c r="B1385" s="3113"/>
      <c r="C1385" s="3114"/>
      <c r="D1385" s="3134"/>
      <c r="E1385" s="2497" t="s">
        <v>1109</v>
      </c>
      <c r="F1385" s="2498">
        <f>SUM(F1386)</f>
        <v>0</v>
      </c>
      <c r="G1385" s="2498">
        <f t="shared" ref="G1385:J1385" si="129">SUM(G1386)</f>
        <v>0</v>
      </c>
      <c r="H1385" s="2498">
        <f t="shared" si="129"/>
        <v>0</v>
      </c>
      <c r="I1385" s="2498">
        <f t="shared" si="129"/>
        <v>0</v>
      </c>
      <c r="J1385" s="2499">
        <f t="shared" si="129"/>
        <v>0</v>
      </c>
      <c r="K1385" s="2482"/>
    </row>
    <row r="1386" spans="1:11" s="2485" customFormat="1" ht="15" hidden="1" customHeight="1">
      <c r="A1386" s="3112"/>
      <c r="B1386" s="3113"/>
      <c r="C1386" s="3114"/>
      <c r="D1386" s="3134"/>
      <c r="E1386" s="2489"/>
      <c r="F1386" s="2490">
        <f>SUM(G1386:J1386)</f>
        <v>0</v>
      </c>
      <c r="G1386" s="2490"/>
      <c r="H1386" s="2490"/>
      <c r="I1386" s="2490"/>
      <c r="J1386" s="2491"/>
      <c r="K1386" s="2482"/>
    </row>
    <row r="1387" spans="1:11" s="2485" customFormat="1" ht="22.5">
      <c r="A1387" s="3112"/>
      <c r="B1387" s="3113"/>
      <c r="C1387" s="3114"/>
      <c r="D1387" s="3134"/>
      <c r="E1387" s="2497" t="s">
        <v>1093</v>
      </c>
      <c r="F1387" s="2498">
        <f>SUM(F1388:F1395)</f>
        <v>108779</v>
      </c>
      <c r="G1387" s="2498">
        <f>SUM(G1388:G1395)</f>
        <v>108779</v>
      </c>
      <c r="H1387" s="2498">
        <f>SUM(H1388:H1395)</f>
        <v>0</v>
      </c>
      <c r="I1387" s="2498">
        <f>SUM(I1388:I1395)</f>
        <v>0</v>
      </c>
      <c r="J1387" s="2499">
        <f>SUM(J1388:J1395)</f>
        <v>0</v>
      </c>
      <c r="K1387" s="2482"/>
    </row>
    <row r="1388" spans="1:11" s="2485" customFormat="1" ht="15" customHeight="1">
      <c r="A1388" s="3112"/>
      <c r="B1388" s="3113"/>
      <c r="C1388" s="3114"/>
      <c r="D1388" s="3134"/>
      <c r="E1388" s="2489" t="s">
        <v>591</v>
      </c>
      <c r="F1388" s="2490">
        <f t="shared" ref="F1388:F1395" si="130">SUM(G1388:J1388)</f>
        <v>77453</v>
      </c>
      <c r="G1388" s="2490">
        <v>77453</v>
      </c>
      <c r="H1388" s="2490"/>
      <c r="I1388" s="2490"/>
      <c r="J1388" s="2491"/>
      <c r="K1388" s="2495"/>
    </row>
    <row r="1389" spans="1:11" s="2485" customFormat="1" ht="15" customHeight="1">
      <c r="A1389" s="3112"/>
      <c r="B1389" s="3113"/>
      <c r="C1389" s="3114"/>
      <c r="D1389" s="3134"/>
      <c r="E1389" s="2489" t="s">
        <v>592</v>
      </c>
      <c r="F1389" s="2490">
        <f t="shared" si="130"/>
        <v>13668</v>
      </c>
      <c r="G1389" s="2490">
        <v>13668</v>
      </c>
      <c r="H1389" s="2490"/>
      <c r="I1389" s="2490"/>
      <c r="J1389" s="2491"/>
      <c r="K1389" s="2495"/>
    </row>
    <row r="1390" spans="1:11" s="2485" customFormat="1" ht="15" customHeight="1">
      <c r="A1390" s="3112"/>
      <c r="B1390" s="3113"/>
      <c r="C1390" s="3114"/>
      <c r="D1390" s="3134"/>
      <c r="E1390" s="2489" t="s">
        <v>595</v>
      </c>
      <c r="F1390" s="2490">
        <f t="shared" si="130"/>
        <v>13113</v>
      </c>
      <c r="G1390" s="2490">
        <v>13113</v>
      </c>
      <c r="H1390" s="2490"/>
      <c r="I1390" s="2490"/>
      <c r="J1390" s="2491"/>
      <c r="K1390" s="2495"/>
    </row>
    <row r="1391" spans="1:11" s="2485" customFormat="1" ht="15" customHeight="1">
      <c r="A1391" s="3112"/>
      <c r="B1391" s="3113"/>
      <c r="C1391" s="3114"/>
      <c r="D1391" s="3134"/>
      <c r="E1391" s="2489" t="s">
        <v>596</v>
      </c>
      <c r="F1391" s="2490">
        <f t="shared" si="130"/>
        <v>2314</v>
      </c>
      <c r="G1391" s="2490">
        <v>2314</v>
      </c>
      <c r="H1391" s="2490"/>
      <c r="I1391" s="2490"/>
      <c r="J1391" s="2491"/>
      <c r="K1391" s="2482"/>
    </row>
    <row r="1392" spans="1:11" s="2485" customFormat="1" ht="15" customHeight="1">
      <c r="A1392" s="3112"/>
      <c r="B1392" s="3113"/>
      <c r="C1392" s="3114"/>
      <c r="D1392" s="3134"/>
      <c r="E1392" s="2489" t="s">
        <v>597</v>
      </c>
      <c r="F1392" s="2490">
        <f t="shared" si="130"/>
        <v>1897</v>
      </c>
      <c r="G1392" s="2490">
        <v>1897</v>
      </c>
      <c r="H1392" s="2490"/>
      <c r="I1392" s="2490"/>
      <c r="J1392" s="2491"/>
      <c r="K1392" s="2482"/>
    </row>
    <row r="1393" spans="1:226" s="2485" customFormat="1" ht="15" customHeight="1">
      <c r="A1393" s="3112"/>
      <c r="B1393" s="3113"/>
      <c r="C1393" s="3114"/>
      <c r="D1393" s="3134"/>
      <c r="E1393" s="2489" t="s">
        <v>598</v>
      </c>
      <c r="F1393" s="2490">
        <f t="shared" si="130"/>
        <v>334</v>
      </c>
      <c r="G1393" s="2490">
        <v>334</v>
      </c>
      <c r="H1393" s="2490"/>
      <c r="I1393" s="2490"/>
      <c r="J1393" s="2491"/>
      <c r="K1393" s="2482"/>
    </row>
    <row r="1394" spans="1:226" s="2485" customFormat="1" ht="15" hidden="1" customHeight="1">
      <c r="A1394" s="3112"/>
      <c r="B1394" s="3113"/>
      <c r="C1394" s="3114"/>
      <c r="D1394" s="3134"/>
      <c r="E1394" s="2489"/>
      <c r="F1394" s="2490">
        <f t="shared" si="130"/>
        <v>0</v>
      </c>
      <c r="G1394" s="2490"/>
      <c r="H1394" s="2490"/>
      <c r="I1394" s="2490"/>
      <c r="J1394" s="2491"/>
      <c r="K1394" s="2482"/>
      <c r="L1394" s="2484"/>
      <c r="M1394" s="2484"/>
      <c r="N1394" s="2484"/>
      <c r="O1394" s="2484"/>
      <c r="P1394" s="2484"/>
      <c r="Q1394" s="2484"/>
      <c r="R1394" s="2484"/>
      <c r="S1394" s="2484"/>
      <c r="T1394" s="2484"/>
      <c r="U1394" s="2484"/>
      <c r="V1394" s="2484"/>
      <c r="W1394" s="2484"/>
      <c r="X1394" s="2484"/>
      <c r="Y1394" s="2484"/>
      <c r="Z1394" s="2484"/>
      <c r="AA1394" s="2484"/>
      <c r="AB1394" s="2484"/>
      <c r="AC1394" s="2484"/>
      <c r="AD1394" s="2484"/>
      <c r="AE1394" s="2484"/>
      <c r="AF1394" s="2484"/>
      <c r="AG1394" s="2484"/>
      <c r="AH1394" s="2484"/>
      <c r="AI1394" s="2484"/>
      <c r="AJ1394" s="2484"/>
      <c r="AK1394" s="2484"/>
      <c r="AL1394" s="2484"/>
      <c r="AM1394" s="2484"/>
      <c r="AN1394" s="2484"/>
      <c r="AO1394" s="2484"/>
      <c r="AP1394" s="2484"/>
      <c r="AQ1394" s="2484"/>
      <c r="AR1394" s="2484"/>
      <c r="AS1394" s="2484"/>
      <c r="AT1394" s="2484"/>
      <c r="AU1394" s="2484"/>
      <c r="AV1394" s="2484"/>
      <c r="AW1394" s="2484"/>
      <c r="AX1394" s="2484"/>
      <c r="AY1394" s="2484"/>
      <c r="AZ1394" s="2484"/>
      <c r="BA1394" s="2484"/>
      <c r="BB1394" s="2484"/>
      <c r="BC1394" s="2484"/>
      <c r="BD1394" s="2484"/>
      <c r="BE1394" s="2484"/>
      <c r="BF1394" s="2484"/>
      <c r="BG1394" s="2484"/>
      <c r="BH1394" s="2484"/>
      <c r="BI1394" s="2484"/>
      <c r="BJ1394" s="2484"/>
      <c r="BK1394" s="2484"/>
      <c r="BL1394" s="2484"/>
      <c r="BM1394" s="2484"/>
      <c r="BN1394" s="2484"/>
      <c r="BO1394" s="2484"/>
      <c r="BP1394" s="2484"/>
      <c r="BQ1394" s="2484"/>
      <c r="BR1394" s="2484"/>
      <c r="BS1394" s="2484"/>
      <c r="BT1394" s="2484"/>
      <c r="BU1394" s="2484"/>
      <c r="BV1394" s="2484"/>
      <c r="BW1394" s="2484"/>
      <c r="BX1394" s="2484"/>
      <c r="BY1394" s="2484"/>
      <c r="BZ1394" s="2484"/>
      <c r="CA1394" s="2484"/>
      <c r="CB1394" s="2484"/>
      <c r="CC1394" s="2484"/>
      <c r="CD1394" s="2484"/>
      <c r="CE1394" s="2484"/>
      <c r="CF1394" s="2484"/>
      <c r="CG1394" s="2484"/>
      <c r="CH1394" s="2484"/>
      <c r="CI1394" s="2484"/>
      <c r="CJ1394" s="2484"/>
      <c r="CK1394" s="2484"/>
      <c r="CL1394" s="2484"/>
      <c r="CM1394" s="2484"/>
      <c r="CN1394" s="2484"/>
      <c r="CO1394" s="2484"/>
      <c r="CP1394" s="2484"/>
      <c r="CQ1394" s="2484"/>
      <c r="CR1394" s="2484"/>
      <c r="CS1394" s="2484"/>
      <c r="CT1394" s="2484"/>
      <c r="CU1394" s="2484"/>
      <c r="CV1394" s="2484"/>
      <c r="CW1394" s="2484"/>
      <c r="CX1394" s="2484"/>
      <c r="CY1394" s="2484"/>
      <c r="CZ1394" s="2484"/>
      <c r="DA1394" s="2484"/>
      <c r="DB1394" s="2484"/>
      <c r="DC1394" s="2484"/>
      <c r="DD1394" s="2484"/>
      <c r="DE1394" s="2484"/>
      <c r="DF1394" s="2484"/>
      <c r="DG1394" s="2484"/>
      <c r="DH1394" s="2484"/>
      <c r="DI1394" s="2484"/>
      <c r="DJ1394" s="2484"/>
      <c r="DK1394" s="2484"/>
      <c r="DL1394" s="2484"/>
      <c r="DM1394" s="2484"/>
      <c r="DN1394" s="2484"/>
      <c r="DO1394" s="2484"/>
      <c r="DP1394" s="2484"/>
      <c r="DQ1394" s="2484"/>
      <c r="DR1394" s="2484"/>
      <c r="DS1394" s="2484"/>
      <c r="DT1394" s="2484"/>
      <c r="DU1394" s="2484"/>
      <c r="DV1394" s="2484"/>
      <c r="DW1394" s="2484"/>
      <c r="DX1394" s="2484"/>
      <c r="DY1394" s="2484"/>
      <c r="DZ1394" s="2484"/>
      <c r="EA1394" s="2484"/>
      <c r="EB1394" s="2484"/>
      <c r="EC1394" s="2484"/>
      <c r="ED1394" s="2484"/>
      <c r="EE1394" s="2484"/>
      <c r="EF1394" s="2484"/>
      <c r="EG1394" s="2484"/>
      <c r="EH1394" s="2484"/>
      <c r="EI1394" s="2484"/>
      <c r="EJ1394" s="2484"/>
      <c r="EK1394" s="2484"/>
      <c r="EL1394" s="2484"/>
      <c r="EM1394" s="2484"/>
      <c r="EN1394" s="2484"/>
      <c r="EO1394" s="2484"/>
      <c r="EP1394" s="2484"/>
      <c r="EQ1394" s="2484"/>
      <c r="ER1394" s="2484"/>
      <c r="ES1394" s="2484"/>
      <c r="ET1394" s="2484"/>
      <c r="EU1394" s="2484"/>
      <c r="EV1394" s="2484"/>
      <c r="EW1394" s="2484"/>
      <c r="EX1394" s="2484"/>
      <c r="EY1394" s="2484"/>
      <c r="EZ1394" s="2484"/>
      <c r="FA1394" s="2484"/>
      <c r="FB1394" s="2484"/>
      <c r="FC1394" s="2484"/>
      <c r="FD1394" s="2484"/>
      <c r="FE1394" s="2484"/>
      <c r="FF1394" s="2484"/>
      <c r="FG1394" s="2484"/>
      <c r="FH1394" s="2484"/>
      <c r="FI1394" s="2484"/>
      <c r="FJ1394" s="2484"/>
      <c r="FK1394" s="2484"/>
      <c r="FL1394" s="2484"/>
      <c r="FM1394" s="2484"/>
      <c r="FN1394" s="2484"/>
      <c r="FO1394" s="2484"/>
      <c r="FP1394" s="2484"/>
      <c r="FQ1394" s="2484"/>
      <c r="FR1394" s="2484"/>
      <c r="FS1394" s="2484"/>
      <c r="FT1394" s="2484"/>
      <c r="FU1394" s="2484"/>
      <c r="FV1394" s="2484"/>
      <c r="FW1394" s="2484"/>
      <c r="FX1394" s="2484"/>
      <c r="FY1394" s="2484"/>
      <c r="FZ1394" s="2484"/>
      <c r="GA1394" s="2484"/>
      <c r="GB1394" s="2484"/>
      <c r="GC1394" s="2484"/>
      <c r="GD1394" s="2484"/>
      <c r="GE1394" s="2484"/>
      <c r="GF1394" s="2484"/>
      <c r="GG1394" s="2484"/>
      <c r="GH1394" s="2484"/>
      <c r="GI1394" s="2484"/>
      <c r="GJ1394" s="2484"/>
      <c r="GK1394" s="2484"/>
      <c r="GL1394" s="2484"/>
      <c r="GM1394" s="2484"/>
      <c r="GN1394" s="2484"/>
      <c r="GO1394" s="2484"/>
      <c r="GP1394" s="2484"/>
      <c r="GQ1394" s="2484"/>
      <c r="GR1394" s="2484"/>
      <c r="GS1394" s="2484"/>
      <c r="GT1394" s="2484"/>
      <c r="GU1394" s="2484"/>
      <c r="GV1394" s="2484"/>
      <c r="GW1394" s="2484"/>
      <c r="GX1394" s="2484"/>
      <c r="GY1394" s="2484"/>
      <c r="GZ1394" s="2484"/>
      <c r="HA1394" s="2484"/>
      <c r="HB1394" s="2484"/>
      <c r="HC1394" s="2484"/>
      <c r="HD1394" s="2484"/>
      <c r="HE1394" s="2484"/>
      <c r="HF1394" s="2484"/>
      <c r="HG1394" s="2484"/>
      <c r="HH1394" s="2484"/>
      <c r="HI1394" s="2484"/>
      <c r="HJ1394" s="2484"/>
      <c r="HK1394" s="2484"/>
      <c r="HL1394" s="2484"/>
      <c r="HM1394" s="2484"/>
      <c r="HN1394" s="2484"/>
      <c r="HO1394" s="2484"/>
      <c r="HP1394" s="2484"/>
      <c r="HQ1394" s="2484"/>
      <c r="HR1394" s="2484"/>
    </row>
    <row r="1395" spans="1:226" s="2485" customFormat="1" ht="15" hidden="1" customHeight="1">
      <c r="A1395" s="3112"/>
      <c r="B1395" s="3113"/>
      <c r="C1395" s="3114"/>
      <c r="D1395" s="3134"/>
      <c r="E1395" s="2489"/>
      <c r="F1395" s="2490">
        <f t="shared" si="130"/>
        <v>0</v>
      </c>
      <c r="G1395" s="2490"/>
      <c r="H1395" s="2490"/>
      <c r="I1395" s="2490"/>
      <c r="J1395" s="2491"/>
      <c r="K1395" s="2482"/>
    </row>
    <row r="1396" spans="1:226" s="2485" customFormat="1" ht="22.5">
      <c r="A1396" s="3112"/>
      <c r="B1396" s="3113"/>
      <c r="C1396" s="3114"/>
      <c r="D1396" s="3134"/>
      <c r="E1396" s="2497" t="s">
        <v>1094</v>
      </c>
      <c r="F1396" s="2498">
        <f>SUM(F1397:F1406)</f>
        <v>32730</v>
      </c>
      <c r="G1396" s="2498">
        <f>SUM(G1397:G1406)</f>
        <v>32730</v>
      </c>
      <c r="H1396" s="2498">
        <f>SUM(H1397:H1406)</f>
        <v>0</v>
      </c>
      <c r="I1396" s="2498">
        <f>SUM(I1397:I1406)</f>
        <v>0</v>
      </c>
      <c r="J1396" s="2499">
        <f>SUM(J1397:J1406)</f>
        <v>0</v>
      </c>
      <c r="K1396" s="2482"/>
    </row>
    <row r="1397" spans="1:226" s="2485" customFormat="1" ht="15" customHeight="1">
      <c r="A1397" s="3112"/>
      <c r="B1397" s="3113"/>
      <c r="C1397" s="3114"/>
      <c r="D1397" s="3134"/>
      <c r="E1397" s="2489" t="s">
        <v>604</v>
      </c>
      <c r="F1397" s="2490">
        <f t="shared" ref="F1397:F1406" si="131">SUM(G1397:J1397)</f>
        <v>3400</v>
      </c>
      <c r="G1397" s="2490">
        <v>3400</v>
      </c>
      <c r="H1397" s="2490"/>
      <c r="I1397" s="2490"/>
      <c r="J1397" s="2491"/>
      <c r="K1397" s="2482"/>
    </row>
    <row r="1398" spans="1:226" s="2485" customFormat="1" ht="15" customHeight="1">
      <c r="A1398" s="3112"/>
      <c r="B1398" s="3113"/>
      <c r="C1398" s="3114"/>
      <c r="D1398" s="3134"/>
      <c r="E1398" s="2489" t="s">
        <v>605</v>
      </c>
      <c r="F1398" s="2490">
        <f t="shared" si="131"/>
        <v>600</v>
      </c>
      <c r="G1398" s="2490">
        <v>600</v>
      </c>
      <c r="H1398" s="2490"/>
      <c r="I1398" s="2490"/>
      <c r="J1398" s="2491"/>
      <c r="K1398" s="2482"/>
    </row>
    <row r="1399" spans="1:226" s="2485" customFormat="1" ht="15" customHeight="1">
      <c r="A1399" s="3112"/>
      <c r="B1399" s="3113"/>
      <c r="C1399" s="3114"/>
      <c r="D1399" s="3134"/>
      <c r="E1399" s="2489" t="s">
        <v>608</v>
      </c>
      <c r="F1399" s="2490">
        <f t="shared" si="131"/>
        <v>12201</v>
      </c>
      <c r="G1399" s="2490">
        <v>12201</v>
      </c>
      <c r="H1399" s="2490"/>
      <c r="I1399" s="2490"/>
      <c r="J1399" s="2491"/>
      <c r="K1399" s="2482"/>
    </row>
    <row r="1400" spans="1:226" s="2485" customFormat="1" ht="15" customHeight="1">
      <c r="A1400" s="3112"/>
      <c r="B1400" s="3113"/>
      <c r="C1400" s="3114"/>
      <c r="D1400" s="3134"/>
      <c r="E1400" s="2489" t="s">
        <v>609</v>
      </c>
      <c r="F1400" s="2490">
        <f t="shared" si="131"/>
        <v>2153</v>
      </c>
      <c r="G1400" s="2490">
        <v>2153</v>
      </c>
      <c r="H1400" s="2490"/>
      <c r="I1400" s="2490"/>
      <c r="J1400" s="2491"/>
      <c r="K1400" s="2482"/>
    </row>
    <row r="1401" spans="1:226" s="2485" customFormat="1" ht="15" customHeight="1">
      <c r="A1401" s="3112"/>
      <c r="B1401" s="3113"/>
      <c r="C1401" s="3114"/>
      <c r="D1401" s="3134"/>
      <c r="E1401" s="2489" t="s">
        <v>728</v>
      </c>
      <c r="F1401" s="2490">
        <f t="shared" si="131"/>
        <v>412</v>
      </c>
      <c r="G1401" s="2490">
        <v>412</v>
      </c>
      <c r="H1401" s="2490"/>
      <c r="I1401" s="2490"/>
      <c r="J1401" s="2491"/>
      <c r="K1401" s="2482"/>
    </row>
    <row r="1402" spans="1:226" s="2485" customFormat="1" ht="15" customHeight="1">
      <c r="A1402" s="3112"/>
      <c r="B1402" s="3113"/>
      <c r="C1402" s="3114"/>
      <c r="D1402" s="3134"/>
      <c r="E1402" s="2489" t="s">
        <v>700</v>
      </c>
      <c r="F1402" s="2490">
        <f t="shared" si="131"/>
        <v>73</v>
      </c>
      <c r="G1402" s="2490">
        <v>73</v>
      </c>
      <c r="H1402" s="2490"/>
      <c r="I1402" s="2490"/>
      <c r="J1402" s="2491"/>
      <c r="K1402" s="2482"/>
    </row>
    <row r="1403" spans="1:226" s="2485" customFormat="1" ht="15" customHeight="1">
      <c r="A1403" s="3112"/>
      <c r="B1403" s="3113"/>
      <c r="C1403" s="3114"/>
      <c r="D1403" s="3134"/>
      <c r="E1403" s="2489" t="s">
        <v>612</v>
      </c>
      <c r="F1403" s="2490">
        <f t="shared" si="131"/>
        <v>757</v>
      </c>
      <c r="G1403" s="2490">
        <v>757</v>
      </c>
      <c r="H1403" s="2490"/>
      <c r="I1403" s="2490"/>
      <c r="J1403" s="2491"/>
      <c r="K1403" s="2482"/>
    </row>
    <row r="1404" spans="1:226" s="2485" customFormat="1" ht="15" customHeight="1">
      <c r="A1404" s="3112"/>
      <c r="B1404" s="3113"/>
      <c r="C1404" s="3114"/>
      <c r="D1404" s="3134"/>
      <c r="E1404" s="2489" t="s">
        <v>613</v>
      </c>
      <c r="F1404" s="2490">
        <f t="shared" si="131"/>
        <v>134</v>
      </c>
      <c r="G1404" s="2490">
        <v>134</v>
      </c>
      <c r="H1404" s="2490"/>
      <c r="I1404" s="2490"/>
      <c r="J1404" s="2491"/>
      <c r="K1404" s="2482"/>
    </row>
    <row r="1405" spans="1:226" s="2485" customFormat="1" ht="15" customHeight="1">
      <c r="A1405" s="3112"/>
      <c r="B1405" s="3113"/>
      <c r="C1405" s="3114"/>
      <c r="D1405" s="3134"/>
      <c r="E1405" s="2489" t="s">
        <v>702</v>
      </c>
      <c r="F1405" s="2490">
        <f t="shared" si="131"/>
        <v>11050</v>
      </c>
      <c r="G1405" s="2490">
        <v>11050</v>
      </c>
      <c r="H1405" s="2490"/>
      <c r="I1405" s="2490"/>
      <c r="J1405" s="2491"/>
      <c r="K1405" s="2482"/>
    </row>
    <row r="1406" spans="1:226" s="2485" customFormat="1" ht="15" customHeight="1">
      <c r="A1406" s="3112"/>
      <c r="B1406" s="3113"/>
      <c r="C1406" s="3114"/>
      <c r="D1406" s="3134"/>
      <c r="E1406" s="2489" t="s">
        <v>703</v>
      </c>
      <c r="F1406" s="2490">
        <f t="shared" si="131"/>
        <v>1950</v>
      </c>
      <c r="G1406" s="2490">
        <v>1950</v>
      </c>
      <c r="H1406" s="2490"/>
      <c r="I1406" s="2490"/>
      <c r="J1406" s="2491"/>
      <c r="K1406" s="2482"/>
    </row>
    <row r="1407" spans="1:226" s="2537" customFormat="1" ht="15" customHeight="1">
      <c r="A1407" s="3112"/>
      <c r="B1407" s="3113"/>
      <c r="C1407" s="3114"/>
      <c r="D1407" s="3134"/>
      <c r="E1407" s="2492" t="s">
        <v>1087</v>
      </c>
      <c r="F1407" s="2487">
        <f>SUM(F1408:F1409)</f>
        <v>0</v>
      </c>
      <c r="G1407" s="2487">
        <f>SUM(G1408:G1409)</f>
        <v>0</v>
      </c>
      <c r="H1407" s="2487">
        <f>SUM(H1408:H1409)</f>
        <v>0</v>
      </c>
      <c r="I1407" s="2487">
        <f>SUM(I1408:I1409)</f>
        <v>0</v>
      </c>
      <c r="J1407" s="2488">
        <f>SUM(J1408:J1409)</f>
        <v>0</v>
      </c>
      <c r="K1407" s="2536"/>
    </row>
    <row r="1408" spans="1:226" s="2537" customFormat="1" ht="15" hidden="1" customHeight="1">
      <c r="A1408" s="3112"/>
      <c r="B1408" s="3113"/>
      <c r="C1408" s="3114"/>
      <c r="D1408" s="3134"/>
      <c r="E1408" s="2489"/>
      <c r="F1408" s="2490">
        <f>SUM(G1408:J1408)</f>
        <v>0</v>
      </c>
      <c r="G1408" s="2490"/>
      <c r="H1408" s="2490"/>
      <c r="I1408" s="2490"/>
      <c r="J1408" s="2491"/>
      <c r="K1408" s="2536"/>
    </row>
    <row r="1409" spans="1:11" s="2295" customFormat="1" ht="15" hidden="1" customHeight="1">
      <c r="A1409" s="3112"/>
      <c r="B1409" s="3113"/>
      <c r="C1409" s="3114"/>
      <c r="D1409" s="3134"/>
      <c r="E1409" s="2503"/>
      <c r="F1409" s="2490">
        <f>SUM(G1409:J1409)</f>
        <v>0</v>
      </c>
      <c r="G1409" s="2490"/>
      <c r="H1409" s="2490"/>
      <c r="I1409" s="2490"/>
      <c r="J1409" s="2491"/>
      <c r="K1409" s="2538"/>
    </row>
    <row r="1410" spans="1:11" s="2301" customFormat="1" ht="30" customHeight="1">
      <c r="A1410" s="2476" t="s">
        <v>1205</v>
      </c>
      <c r="B1410" s="3167" t="s">
        <v>1206</v>
      </c>
      <c r="C1410" s="3167"/>
      <c r="D1410" s="3167"/>
      <c r="E1410" s="3167"/>
      <c r="F1410" s="2525">
        <f>F1412</f>
        <v>60401</v>
      </c>
      <c r="G1410" s="2525">
        <f t="shared" ref="G1410:J1410" si="132">G1412</f>
        <v>0</v>
      </c>
      <c r="H1410" s="2525">
        <f t="shared" si="132"/>
        <v>60401</v>
      </c>
      <c r="I1410" s="2525">
        <f t="shared" si="132"/>
        <v>0</v>
      </c>
      <c r="J1410" s="2527">
        <f t="shared" si="132"/>
        <v>0</v>
      </c>
    </row>
    <row r="1411" spans="1:11" s="37" customFormat="1" ht="15" customHeight="1">
      <c r="A1411" s="3168"/>
      <c r="B1411" s="3169"/>
      <c r="C1411" s="3169"/>
      <c r="D1411" s="3169"/>
      <c r="E1411" s="3169"/>
      <c r="F1411" s="3169"/>
      <c r="G1411" s="3169"/>
      <c r="H1411" s="3169"/>
      <c r="I1411" s="3169"/>
      <c r="J1411" s="3170"/>
    </row>
    <row r="1412" spans="1:11" s="2539" customFormat="1" ht="22.5" customHeight="1">
      <c r="A1412" s="3139" t="s">
        <v>1084</v>
      </c>
      <c r="B1412" s="3142" t="s">
        <v>1207</v>
      </c>
      <c r="C1412" s="3115">
        <v>801</v>
      </c>
      <c r="D1412" s="3117" t="s">
        <v>850</v>
      </c>
      <c r="E1412" s="2479" t="s">
        <v>1086</v>
      </c>
      <c r="F1412" s="2480">
        <f>SUM(F1413,F1422)</f>
        <v>60401</v>
      </c>
      <c r="G1412" s="2480">
        <f>SUM(G1413,G1422)</f>
        <v>0</v>
      </c>
      <c r="H1412" s="2480">
        <f>SUM(H1413,H1422)</f>
        <v>60401</v>
      </c>
      <c r="I1412" s="2480">
        <f>SUM(I1413,I1422)</f>
        <v>0</v>
      </c>
      <c r="J1412" s="2481">
        <f>SUM(J1413,J1422)</f>
        <v>0</v>
      </c>
    </row>
    <row r="1413" spans="1:11" s="2539" customFormat="1" ht="22.5">
      <c r="A1413" s="3140"/>
      <c r="B1413" s="3143"/>
      <c r="C1413" s="3145"/>
      <c r="D1413" s="3146"/>
      <c r="E1413" s="2540" t="s">
        <v>1092</v>
      </c>
      <c r="F1413" s="2541">
        <f>SUM(F1414,F1418)</f>
        <v>60401</v>
      </c>
      <c r="G1413" s="2541">
        <f>SUM(G1414,G1418)</f>
        <v>0</v>
      </c>
      <c r="H1413" s="2541">
        <f>SUM(H1414,H1418)</f>
        <v>60401</v>
      </c>
      <c r="I1413" s="2541">
        <f>SUM(I1414,I1418)</f>
        <v>0</v>
      </c>
      <c r="J1413" s="2542">
        <f>SUM(J1414,J1418)</f>
        <v>0</v>
      </c>
    </row>
    <row r="1414" spans="1:11" s="37" customFormat="1" ht="22.5" hidden="1" customHeight="1">
      <c r="A1414" s="3140"/>
      <c r="B1414" s="3143"/>
      <c r="C1414" s="3145"/>
      <c r="D1414" s="3146"/>
      <c r="E1414" s="2543" t="s">
        <v>1093</v>
      </c>
      <c r="F1414" s="2490">
        <f>SUM(F1415:F1417)</f>
        <v>0</v>
      </c>
      <c r="G1414" s="2490">
        <f t="shared" ref="G1414:J1414" si="133">SUM(G1415:G1417)</f>
        <v>0</v>
      </c>
      <c r="H1414" s="2490">
        <f t="shared" si="133"/>
        <v>0</v>
      </c>
      <c r="I1414" s="2490">
        <f>SUM(I1415:I1417)</f>
        <v>0</v>
      </c>
      <c r="J1414" s="2491">
        <f t="shared" si="133"/>
        <v>0</v>
      </c>
    </row>
    <row r="1415" spans="1:11" s="37" customFormat="1" ht="15" hidden="1" customHeight="1">
      <c r="A1415" s="3140"/>
      <c r="B1415" s="3143"/>
      <c r="C1415" s="3145"/>
      <c r="D1415" s="3146"/>
      <c r="E1415" s="2489" t="s">
        <v>1208</v>
      </c>
      <c r="F1415" s="2490">
        <f>SUM(G1415:J1415)</f>
        <v>0</v>
      </c>
      <c r="G1415" s="2490"/>
      <c r="H1415" s="2490"/>
      <c r="I1415" s="2490"/>
      <c r="J1415" s="2491"/>
    </row>
    <row r="1416" spans="1:11" s="37" customFormat="1" ht="15" hidden="1" customHeight="1">
      <c r="A1416" s="3140"/>
      <c r="B1416" s="3143"/>
      <c r="C1416" s="3145"/>
      <c r="D1416" s="3146"/>
      <c r="E1416" s="2489" t="s">
        <v>1209</v>
      </c>
      <c r="F1416" s="2490">
        <f t="shared" ref="F1416:F1417" si="134">SUM(G1416:J1416)</f>
        <v>0</v>
      </c>
      <c r="G1416" s="2490"/>
      <c r="H1416" s="2490"/>
      <c r="I1416" s="2490"/>
      <c r="J1416" s="2491"/>
    </row>
    <row r="1417" spans="1:11" s="37" customFormat="1" ht="15" hidden="1" customHeight="1">
      <c r="A1417" s="3140"/>
      <c r="B1417" s="3143"/>
      <c r="C1417" s="3145"/>
      <c r="D1417" s="3146"/>
      <c r="E1417" s="2489" t="s">
        <v>1210</v>
      </c>
      <c r="F1417" s="2490">
        <f t="shared" si="134"/>
        <v>0</v>
      </c>
      <c r="G1417" s="2490"/>
      <c r="H1417" s="2490"/>
      <c r="I1417" s="2490"/>
      <c r="J1417" s="2491"/>
    </row>
    <row r="1418" spans="1:11" s="37" customFormat="1" ht="22.5">
      <c r="A1418" s="3140"/>
      <c r="B1418" s="3143"/>
      <c r="C1418" s="3145"/>
      <c r="D1418" s="3146"/>
      <c r="E1418" s="2543" t="s">
        <v>1094</v>
      </c>
      <c r="F1418" s="2490">
        <f>SUM(F1419:F1421)</f>
        <v>60401</v>
      </c>
      <c r="G1418" s="2490">
        <f>SUM(G1419:G1421)</f>
        <v>0</v>
      </c>
      <c r="H1418" s="2490">
        <f>SUM(H1419:H1421)</f>
        <v>60401</v>
      </c>
      <c r="I1418" s="2490">
        <f>SUM(I1419:I1421)</f>
        <v>0</v>
      </c>
      <c r="J1418" s="2491">
        <f>SUM(J1419:J1421)</f>
        <v>0</v>
      </c>
    </row>
    <row r="1419" spans="1:11" s="37" customFormat="1" ht="15" customHeight="1">
      <c r="A1419" s="3140"/>
      <c r="B1419" s="3143"/>
      <c r="C1419" s="3145"/>
      <c r="D1419" s="3146"/>
      <c r="E1419" s="2489" t="s">
        <v>853</v>
      </c>
      <c r="F1419" s="2490">
        <f t="shared" ref="F1419:F1421" si="135">SUM(G1419:J1419)</f>
        <v>60401</v>
      </c>
      <c r="G1419" s="2490"/>
      <c r="H1419" s="2490">
        <v>60401</v>
      </c>
      <c r="I1419" s="2490"/>
      <c r="J1419" s="2491"/>
    </row>
    <row r="1420" spans="1:11" s="37" customFormat="1" ht="15" hidden="1" customHeight="1">
      <c r="A1420" s="3140"/>
      <c r="B1420" s="3143"/>
      <c r="C1420" s="3145"/>
      <c r="D1420" s="3146"/>
      <c r="E1420" s="2489"/>
      <c r="F1420" s="2490">
        <f t="shared" si="135"/>
        <v>0</v>
      </c>
      <c r="G1420" s="2490"/>
      <c r="H1420" s="2490"/>
      <c r="I1420" s="2490"/>
      <c r="J1420" s="2491"/>
    </row>
    <row r="1421" spans="1:11" s="37" customFormat="1" ht="15" hidden="1" customHeight="1">
      <c r="A1421" s="3140"/>
      <c r="B1421" s="3143"/>
      <c r="C1421" s="3145"/>
      <c r="D1421" s="3146"/>
      <c r="E1421" s="2489"/>
      <c r="F1421" s="2490">
        <f t="shared" si="135"/>
        <v>0</v>
      </c>
      <c r="G1421" s="2490"/>
      <c r="H1421" s="2490"/>
      <c r="I1421" s="2490"/>
      <c r="J1421" s="2491"/>
    </row>
    <row r="1422" spans="1:11" s="2539" customFormat="1" ht="15" customHeight="1">
      <c r="A1422" s="3141"/>
      <c r="B1422" s="3144"/>
      <c r="C1422" s="3116"/>
      <c r="D1422" s="3118"/>
      <c r="E1422" s="2544" t="s">
        <v>1087</v>
      </c>
      <c r="F1422" s="2541">
        <f>SUM(F1423:F1424)</f>
        <v>0</v>
      </c>
      <c r="G1422" s="2541">
        <f>SUM(G1423:G1424)</f>
        <v>0</v>
      </c>
      <c r="H1422" s="2541">
        <f>SUM(H1423:H1424)</f>
        <v>0</v>
      </c>
      <c r="I1422" s="2541">
        <f>SUM(I1423:I1424)</f>
        <v>0</v>
      </c>
      <c r="J1422" s="2542">
        <f>SUM(J1423:J1424)</f>
        <v>0</v>
      </c>
    </row>
    <row r="1423" spans="1:11" s="2295" customFormat="1" ht="15" hidden="1" customHeight="1">
      <c r="A1423" s="2500"/>
      <c r="B1423" s="2545"/>
      <c r="C1423" s="2493"/>
      <c r="D1423" s="2502"/>
      <c r="E1423" s="2489"/>
      <c r="F1423" s="2490">
        <f>SUM(G1423:J1423)</f>
        <v>0</v>
      </c>
      <c r="G1423" s="2490"/>
      <c r="H1423" s="2490"/>
      <c r="I1423" s="2490"/>
      <c r="J1423" s="2491"/>
      <c r="K1423" s="37"/>
    </row>
    <row r="1424" spans="1:11" s="2295" customFormat="1" ht="15" hidden="1" customHeight="1">
      <c r="A1424" s="2500"/>
      <c r="B1424" s="2545"/>
      <c r="C1424" s="2493"/>
      <c r="D1424" s="2502"/>
      <c r="E1424" s="2503"/>
      <c r="F1424" s="2490">
        <f t="shared" ref="F1424" si="136">SUM(G1424:J1424)</f>
        <v>0</v>
      </c>
      <c r="G1424" s="2490"/>
      <c r="H1424" s="2490"/>
      <c r="I1424" s="2490"/>
      <c r="J1424" s="2491"/>
      <c r="K1424" s="37"/>
    </row>
    <row r="1425" spans="1:10" s="37" customFormat="1" ht="21" customHeight="1">
      <c r="A1425" s="2476" t="s">
        <v>1211</v>
      </c>
      <c r="B1425" s="3108" t="s">
        <v>1212</v>
      </c>
      <c r="C1425" s="3108"/>
      <c r="D1425" s="3108"/>
      <c r="E1425" s="3108"/>
      <c r="F1425" s="2525">
        <f>F1455</f>
        <v>124809</v>
      </c>
      <c r="G1425" s="2525">
        <f t="shared" ref="G1425:J1425" si="137">G1455</f>
        <v>0</v>
      </c>
      <c r="H1425" s="2525">
        <f t="shared" si="137"/>
        <v>111185</v>
      </c>
      <c r="I1425" s="2525">
        <f t="shared" si="137"/>
        <v>13624</v>
      </c>
      <c r="J1425" s="2527">
        <f t="shared" si="137"/>
        <v>0</v>
      </c>
    </row>
    <row r="1426" spans="1:10" s="37" customFormat="1" ht="9" customHeight="1">
      <c r="A1426" s="3164"/>
      <c r="B1426" s="3165"/>
      <c r="C1426" s="3165"/>
      <c r="D1426" s="3165"/>
      <c r="E1426" s="3165"/>
      <c r="F1426" s="3165"/>
      <c r="G1426" s="3165"/>
      <c r="H1426" s="3165"/>
      <c r="I1426" s="3165"/>
      <c r="J1426" s="3166"/>
    </row>
    <row r="1427" spans="1:10" s="37" customFormat="1" ht="15" hidden="1" customHeight="1">
      <c r="A1427" s="3112" t="s">
        <v>1084</v>
      </c>
      <c r="B1427" s="3113" t="s">
        <v>1213</v>
      </c>
      <c r="C1427" s="3114">
        <v>801</v>
      </c>
      <c r="D1427" s="3134" t="s">
        <v>837</v>
      </c>
      <c r="E1427" s="2479" t="s">
        <v>1086</v>
      </c>
      <c r="F1427" s="2480">
        <f>SUM(F1428,F1452)</f>
        <v>0</v>
      </c>
      <c r="G1427" s="2480">
        <f>SUM(G1428,G1452)</f>
        <v>0</v>
      </c>
      <c r="H1427" s="2480">
        <f>SUM(H1428,H1452)</f>
        <v>0</v>
      </c>
      <c r="I1427" s="2480">
        <f>SUM(I1428,I1452)</f>
        <v>0</v>
      </c>
      <c r="J1427" s="2481">
        <f>SUM(J1428,J1452)</f>
        <v>0</v>
      </c>
    </row>
    <row r="1428" spans="1:10" s="37" customFormat="1" ht="15" hidden="1" customHeight="1">
      <c r="A1428" s="3112"/>
      <c r="B1428" s="3113"/>
      <c r="C1428" s="3114"/>
      <c r="D1428" s="3134"/>
      <c r="E1428" s="2486" t="s">
        <v>1092</v>
      </c>
      <c r="F1428" s="2487">
        <f>SUM(F1429,F1432,F1441)</f>
        <v>0</v>
      </c>
      <c r="G1428" s="2487">
        <f>SUM(G1429,G1432,G1441)</f>
        <v>0</v>
      </c>
      <c r="H1428" s="2487">
        <f>SUM(H1429,H1432,H1441)</f>
        <v>0</v>
      </c>
      <c r="I1428" s="2487">
        <f>SUM(I1429,I1432,I1441)</f>
        <v>0</v>
      </c>
      <c r="J1428" s="2488">
        <f>SUM(J1429,J1432,J1441)</f>
        <v>0</v>
      </c>
    </row>
    <row r="1429" spans="1:10" s="37" customFormat="1" ht="15" hidden="1" customHeight="1">
      <c r="A1429" s="3112"/>
      <c r="B1429" s="3113"/>
      <c r="C1429" s="3114"/>
      <c r="D1429" s="3134"/>
      <c r="E1429" s="2497" t="s">
        <v>1109</v>
      </c>
      <c r="F1429" s="2498">
        <f>SUM(F1430:F1431)</f>
        <v>0</v>
      </c>
      <c r="G1429" s="2498">
        <f>SUM(G1430:G1431)</f>
        <v>0</v>
      </c>
      <c r="H1429" s="2498">
        <f>SUM(H1430:H1431)</f>
        <v>0</v>
      </c>
      <c r="I1429" s="2498">
        <f>SUM(I1430:I1431)</f>
        <v>0</v>
      </c>
      <c r="J1429" s="2499">
        <f>SUM(J1430:J1431)</f>
        <v>0</v>
      </c>
    </row>
    <row r="1430" spans="1:10" s="37" customFormat="1" ht="15" hidden="1" customHeight="1">
      <c r="A1430" s="3112"/>
      <c r="B1430" s="3113"/>
      <c r="C1430" s="3114"/>
      <c r="D1430" s="3134"/>
      <c r="E1430" s="2524" t="s">
        <v>418</v>
      </c>
      <c r="F1430" s="2490">
        <f>SUM(G1430:J1430)</f>
        <v>0</v>
      </c>
      <c r="G1430" s="2490"/>
      <c r="H1430" s="2490"/>
      <c r="I1430" s="2490"/>
      <c r="J1430" s="2491"/>
    </row>
    <row r="1431" spans="1:10" s="37" customFormat="1" ht="15" hidden="1" customHeight="1">
      <c r="A1431" s="3112"/>
      <c r="B1431" s="3113"/>
      <c r="C1431" s="3114"/>
      <c r="D1431" s="3134"/>
      <c r="E1431" s="2524" t="s">
        <v>328</v>
      </c>
      <c r="F1431" s="2490">
        <f>SUM(G1431:J1431)</f>
        <v>0</v>
      </c>
      <c r="G1431" s="2490"/>
      <c r="H1431" s="2490"/>
      <c r="I1431" s="2490"/>
      <c r="J1431" s="2491"/>
    </row>
    <row r="1432" spans="1:10" s="37" customFormat="1" ht="15" hidden="1" customHeight="1">
      <c r="A1432" s="3112"/>
      <c r="B1432" s="3113"/>
      <c r="C1432" s="3114"/>
      <c r="D1432" s="3134"/>
      <c r="E1432" s="2497" t="s">
        <v>1093</v>
      </c>
      <c r="F1432" s="2498">
        <f>SUM(F1433:F1440)</f>
        <v>0</v>
      </c>
      <c r="G1432" s="2498">
        <f>SUM(G1433:G1440)</f>
        <v>0</v>
      </c>
      <c r="H1432" s="2498">
        <f>SUM(H1433:H1440)</f>
        <v>0</v>
      </c>
      <c r="I1432" s="2498">
        <f>SUM(I1433:I1440)</f>
        <v>0</v>
      </c>
      <c r="J1432" s="2499">
        <f>SUM(J1433:J1440)</f>
        <v>0</v>
      </c>
    </row>
    <row r="1433" spans="1:10" s="37" customFormat="1" ht="15" hidden="1" customHeight="1">
      <c r="A1433" s="3112"/>
      <c r="B1433" s="3113"/>
      <c r="C1433" s="3114"/>
      <c r="D1433" s="3134"/>
      <c r="E1433" s="2489" t="s">
        <v>647</v>
      </c>
      <c r="F1433" s="2490">
        <f t="shared" ref="F1433:F1440" si="138">SUM(G1433:J1433)</f>
        <v>0</v>
      </c>
      <c r="G1433" s="2490"/>
      <c r="H1433" s="2490"/>
      <c r="I1433" s="2490"/>
      <c r="J1433" s="2491"/>
    </row>
    <row r="1434" spans="1:10" s="37" customFormat="1" ht="15" hidden="1" customHeight="1">
      <c r="A1434" s="3112"/>
      <c r="B1434" s="3113"/>
      <c r="C1434" s="3114"/>
      <c r="D1434" s="3134"/>
      <c r="E1434" s="2489" t="s">
        <v>592</v>
      </c>
      <c r="F1434" s="2490">
        <f t="shared" si="138"/>
        <v>0</v>
      </c>
      <c r="G1434" s="2490"/>
      <c r="H1434" s="2490"/>
      <c r="I1434" s="2490"/>
      <c r="J1434" s="2491"/>
    </row>
    <row r="1435" spans="1:10" s="37" customFormat="1" ht="15" hidden="1" customHeight="1">
      <c r="A1435" s="3112"/>
      <c r="B1435" s="3113"/>
      <c r="C1435" s="3114"/>
      <c r="D1435" s="3134"/>
      <c r="E1435" s="2489" t="s">
        <v>649</v>
      </c>
      <c r="F1435" s="2490">
        <f t="shared" si="138"/>
        <v>0</v>
      </c>
      <c r="G1435" s="2490"/>
      <c r="H1435" s="2490"/>
      <c r="I1435" s="2490"/>
      <c r="J1435" s="2491"/>
    </row>
    <row r="1436" spans="1:10" s="37" customFormat="1" ht="15" hidden="1" customHeight="1">
      <c r="A1436" s="3112"/>
      <c r="B1436" s="3113"/>
      <c r="C1436" s="3114"/>
      <c r="D1436" s="3134"/>
      <c r="E1436" s="2489" t="s">
        <v>596</v>
      </c>
      <c r="F1436" s="2490">
        <f t="shared" si="138"/>
        <v>0</v>
      </c>
      <c r="G1436" s="2490"/>
      <c r="H1436" s="2490"/>
      <c r="I1436" s="2490"/>
      <c r="J1436" s="2491"/>
    </row>
    <row r="1437" spans="1:10" s="37" customFormat="1" ht="15" hidden="1" customHeight="1">
      <c r="A1437" s="3112"/>
      <c r="B1437" s="3113"/>
      <c r="C1437" s="3114"/>
      <c r="D1437" s="3134"/>
      <c r="E1437" s="2489" t="s">
        <v>650</v>
      </c>
      <c r="F1437" s="2490">
        <f t="shared" si="138"/>
        <v>0</v>
      </c>
      <c r="G1437" s="2490"/>
      <c r="H1437" s="2490"/>
      <c r="I1437" s="2490"/>
      <c r="J1437" s="2491"/>
    </row>
    <row r="1438" spans="1:10" s="37" customFormat="1" ht="15" hidden="1" customHeight="1">
      <c r="A1438" s="3112"/>
      <c r="B1438" s="3113"/>
      <c r="C1438" s="3114"/>
      <c r="D1438" s="3134"/>
      <c r="E1438" s="2489" t="s">
        <v>598</v>
      </c>
      <c r="F1438" s="2490">
        <f t="shared" si="138"/>
        <v>0</v>
      </c>
      <c r="G1438" s="2490"/>
      <c r="H1438" s="2490"/>
      <c r="I1438" s="2490"/>
      <c r="J1438" s="2491"/>
    </row>
    <row r="1439" spans="1:10" s="37" customFormat="1" ht="15" hidden="1" customHeight="1">
      <c r="A1439" s="3112"/>
      <c r="B1439" s="3113"/>
      <c r="C1439" s="3114"/>
      <c r="D1439" s="3134"/>
      <c r="E1439" s="2489" t="s">
        <v>726</v>
      </c>
      <c r="F1439" s="2490">
        <f t="shared" si="138"/>
        <v>0</v>
      </c>
      <c r="G1439" s="2490"/>
      <c r="H1439" s="2490"/>
      <c r="I1439" s="2490"/>
      <c r="J1439" s="2491"/>
    </row>
    <row r="1440" spans="1:10" s="37" customFormat="1" ht="15" hidden="1" customHeight="1">
      <c r="A1440" s="3112"/>
      <c r="B1440" s="3113"/>
      <c r="C1440" s="3114"/>
      <c r="D1440" s="3134"/>
      <c r="E1440" s="2489" t="s">
        <v>600</v>
      </c>
      <c r="F1440" s="2490">
        <f t="shared" si="138"/>
        <v>0</v>
      </c>
      <c r="G1440" s="2490"/>
      <c r="H1440" s="2490"/>
      <c r="I1440" s="2490"/>
      <c r="J1440" s="2491"/>
    </row>
    <row r="1441" spans="1:10" s="37" customFormat="1" ht="15" hidden="1" customHeight="1">
      <c r="A1441" s="3112"/>
      <c r="B1441" s="3113"/>
      <c r="C1441" s="3114"/>
      <c r="D1441" s="3134"/>
      <c r="E1441" s="2497" t="s">
        <v>1094</v>
      </c>
      <c r="F1441" s="2498">
        <f>SUM(F1442:F1451)</f>
        <v>0</v>
      </c>
      <c r="G1441" s="2498">
        <f>SUM(G1442:G1451)</f>
        <v>0</v>
      </c>
      <c r="H1441" s="2498">
        <f>SUM(H1442:H1451)</f>
        <v>0</v>
      </c>
      <c r="I1441" s="2498">
        <f>SUM(I1442:I1451)</f>
        <v>0</v>
      </c>
      <c r="J1441" s="2499">
        <f>SUM(J1442:J1451)</f>
        <v>0</v>
      </c>
    </row>
    <row r="1442" spans="1:10" s="2523" customFormat="1" ht="15" hidden="1" customHeight="1">
      <c r="A1442" s="3112"/>
      <c r="B1442" s="3113"/>
      <c r="C1442" s="3114"/>
      <c r="D1442" s="3134"/>
      <c r="E1442" s="2524" t="s">
        <v>651</v>
      </c>
      <c r="F1442" s="2490">
        <f t="shared" ref="F1442:F1451" si="139">SUM(G1442:J1442)</f>
        <v>0</v>
      </c>
      <c r="G1442" s="2490"/>
      <c r="H1442" s="2490"/>
      <c r="I1442" s="2490"/>
      <c r="J1442" s="2491"/>
    </row>
    <row r="1443" spans="1:10" s="2523" customFormat="1" ht="15" hidden="1" customHeight="1">
      <c r="A1443" s="3112"/>
      <c r="B1443" s="3113"/>
      <c r="C1443" s="3114"/>
      <c r="D1443" s="3134"/>
      <c r="E1443" s="2524" t="s">
        <v>605</v>
      </c>
      <c r="F1443" s="2490">
        <f t="shared" si="139"/>
        <v>0</v>
      </c>
      <c r="G1443" s="2490"/>
      <c r="H1443" s="2490"/>
      <c r="I1443" s="2490"/>
      <c r="J1443" s="2491"/>
    </row>
    <row r="1444" spans="1:10" s="2523" customFormat="1" ht="15" hidden="1" customHeight="1">
      <c r="A1444" s="3112"/>
      <c r="B1444" s="3113"/>
      <c r="C1444" s="3114"/>
      <c r="D1444" s="3134"/>
      <c r="E1444" s="2524" t="s">
        <v>835</v>
      </c>
      <c r="F1444" s="2490">
        <f t="shared" si="139"/>
        <v>0</v>
      </c>
      <c r="G1444" s="2490"/>
      <c r="H1444" s="2490"/>
      <c r="I1444" s="2490"/>
      <c r="J1444" s="2491"/>
    </row>
    <row r="1445" spans="1:10" s="2523" customFormat="1" ht="15" hidden="1" customHeight="1">
      <c r="A1445" s="3112"/>
      <c r="B1445" s="3113"/>
      <c r="C1445" s="3114"/>
      <c r="D1445" s="3134"/>
      <c r="E1445" s="2524" t="s">
        <v>836</v>
      </c>
      <c r="F1445" s="2490">
        <f t="shared" si="139"/>
        <v>0</v>
      </c>
      <c r="G1445" s="2490"/>
      <c r="H1445" s="2490"/>
      <c r="I1445" s="2490"/>
      <c r="J1445" s="2491"/>
    </row>
    <row r="1446" spans="1:10" s="2523" customFormat="1" ht="15" hidden="1" customHeight="1">
      <c r="A1446" s="3112"/>
      <c r="B1446" s="3113"/>
      <c r="C1446" s="3114"/>
      <c r="D1446" s="3134"/>
      <c r="E1446" s="2524" t="s">
        <v>652</v>
      </c>
      <c r="F1446" s="2490">
        <f t="shared" si="139"/>
        <v>0</v>
      </c>
      <c r="G1446" s="2490"/>
      <c r="H1446" s="2490"/>
      <c r="I1446" s="2490"/>
      <c r="J1446" s="2491"/>
    </row>
    <row r="1447" spans="1:10" s="2523" customFormat="1" ht="15" hidden="1" customHeight="1">
      <c r="A1447" s="3112"/>
      <c r="B1447" s="3113"/>
      <c r="C1447" s="3114"/>
      <c r="D1447" s="3134"/>
      <c r="E1447" s="2524" t="s">
        <v>609</v>
      </c>
      <c r="F1447" s="2490">
        <f t="shared" si="139"/>
        <v>0</v>
      </c>
      <c r="G1447" s="2490"/>
      <c r="H1447" s="2490"/>
      <c r="I1447" s="2490"/>
      <c r="J1447" s="2491"/>
    </row>
    <row r="1448" spans="1:10" s="2523" customFormat="1" ht="15" hidden="1" customHeight="1">
      <c r="A1448" s="3112"/>
      <c r="B1448" s="3113"/>
      <c r="C1448" s="3114"/>
      <c r="D1448" s="3134"/>
      <c r="E1448" s="2524" t="s">
        <v>845</v>
      </c>
      <c r="F1448" s="2490">
        <f t="shared" si="139"/>
        <v>0</v>
      </c>
      <c r="G1448" s="2490"/>
      <c r="H1448" s="2490"/>
      <c r="I1448" s="2490"/>
      <c r="J1448" s="2491"/>
    </row>
    <row r="1449" spans="1:10" s="2523" customFormat="1" ht="15" hidden="1" customHeight="1">
      <c r="A1449" s="3112"/>
      <c r="B1449" s="3113"/>
      <c r="C1449" s="3114"/>
      <c r="D1449" s="3134"/>
      <c r="E1449" s="2524" t="s">
        <v>774</v>
      </c>
      <c r="F1449" s="2490">
        <f t="shared" si="139"/>
        <v>0</v>
      </c>
      <c r="G1449" s="2490"/>
      <c r="H1449" s="2490"/>
      <c r="I1449" s="2490"/>
      <c r="J1449" s="2491"/>
    </row>
    <row r="1450" spans="1:10" s="2523" customFormat="1" ht="15" hidden="1" customHeight="1">
      <c r="A1450" s="3112"/>
      <c r="B1450" s="3113"/>
      <c r="C1450" s="3114"/>
      <c r="D1450" s="3134"/>
      <c r="E1450" s="2524" t="s">
        <v>653</v>
      </c>
      <c r="F1450" s="2490">
        <f t="shared" si="139"/>
        <v>0</v>
      </c>
      <c r="G1450" s="2490"/>
      <c r="H1450" s="2490"/>
      <c r="I1450" s="2490"/>
      <c r="J1450" s="2491"/>
    </row>
    <row r="1451" spans="1:10" s="2523" customFormat="1" ht="15" hidden="1" customHeight="1">
      <c r="A1451" s="3112"/>
      <c r="B1451" s="3113"/>
      <c r="C1451" s="3114"/>
      <c r="D1451" s="3134"/>
      <c r="E1451" s="2524" t="s">
        <v>613</v>
      </c>
      <c r="F1451" s="2490">
        <f t="shared" si="139"/>
        <v>0</v>
      </c>
      <c r="G1451" s="2490"/>
      <c r="H1451" s="2490"/>
      <c r="I1451" s="2490"/>
      <c r="J1451" s="2491"/>
    </row>
    <row r="1452" spans="1:10" s="37" customFormat="1" ht="15" hidden="1" customHeight="1">
      <c r="A1452" s="3112"/>
      <c r="B1452" s="3113"/>
      <c r="C1452" s="3114"/>
      <c r="D1452" s="3134"/>
      <c r="E1452" s="2492" t="s">
        <v>1087</v>
      </c>
      <c r="F1452" s="2487">
        <f>SUM(F1453:F1454)</f>
        <v>0</v>
      </c>
      <c r="G1452" s="2487">
        <f>SUM(G1453:G1454)</f>
        <v>0</v>
      </c>
      <c r="H1452" s="2487">
        <f>SUM(H1453:H1454)</f>
        <v>0</v>
      </c>
      <c r="I1452" s="2487">
        <f>SUM(I1453:I1454)</f>
        <v>0</v>
      </c>
      <c r="J1452" s="2488">
        <f>SUM(J1453:J1454)</f>
        <v>0</v>
      </c>
    </row>
    <row r="1453" spans="1:10" s="37" customFormat="1" ht="15" hidden="1" customHeight="1">
      <c r="A1453" s="2500"/>
      <c r="B1453" s="2501"/>
      <c r="C1453" s="2493"/>
      <c r="D1453" s="2502"/>
      <c r="E1453" s="2489"/>
      <c r="F1453" s="2490">
        <f>SUM(G1453:J1453)</f>
        <v>0</v>
      </c>
      <c r="G1453" s="2490"/>
      <c r="H1453" s="2490"/>
      <c r="I1453" s="2490"/>
      <c r="J1453" s="2491"/>
    </row>
    <row r="1454" spans="1:10" s="37" customFormat="1" ht="15" hidden="1" customHeight="1">
      <c r="A1454" s="2500"/>
      <c r="B1454" s="2501"/>
      <c r="C1454" s="2493"/>
      <c r="D1454" s="2502"/>
      <c r="E1454" s="2503"/>
      <c r="F1454" s="2490">
        <f>SUM(G1454:J1454)</f>
        <v>0</v>
      </c>
      <c r="G1454" s="2490"/>
      <c r="H1454" s="2490"/>
      <c r="I1454" s="2490"/>
      <c r="J1454" s="2491"/>
    </row>
    <row r="1455" spans="1:10" s="37" customFormat="1" ht="22.5">
      <c r="A1455" s="3112" t="s">
        <v>1084</v>
      </c>
      <c r="B1455" s="3113" t="s">
        <v>1214</v>
      </c>
      <c r="C1455" s="3114">
        <v>801</v>
      </c>
      <c r="D1455" s="3134" t="s">
        <v>837</v>
      </c>
      <c r="E1455" s="2479" t="s">
        <v>1086</v>
      </c>
      <c r="F1455" s="2480">
        <f>SUM(F1456,F1480)</f>
        <v>124809</v>
      </c>
      <c r="G1455" s="2480">
        <f>SUM(G1456,G1480)</f>
        <v>0</v>
      </c>
      <c r="H1455" s="2480">
        <f>SUM(H1456,H1480)</f>
        <v>111185</v>
      </c>
      <c r="I1455" s="2480">
        <f>SUM(I1456,I1480)</f>
        <v>13624</v>
      </c>
      <c r="J1455" s="2481">
        <f>SUM(J1456,J1480)</f>
        <v>0</v>
      </c>
    </row>
    <row r="1456" spans="1:10" s="37" customFormat="1" ht="21">
      <c r="A1456" s="3112"/>
      <c r="B1456" s="3113"/>
      <c r="C1456" s="3114"/>
      <c r="D1456" s="3134"/>
      <c r="E1456" s="2486" t="s">
        <v>1092</v>
      </c>
      <c r="F1456" s="2487">
        <f>SUM(F1457,F1460,F1469)</f>
        <v>124809</v>
      </c>
      <c r="G1456" s="2487">
        <f>SUM(G1457,G1460,G1469)</f>
        <v>0</v>
      </c>
      <c r="H1456" s="2487">
        <f>SUM(H1457,H1460,H1469)</f>
        <v>111185</v>
      </c>
      <c r="I1456" s="2487">
        <f>SUM(I1457,I1460,I1469)</f>
        <v>13624</v>
      </c>
      <c r="J1456" s="2488">
        <f>SUM(J1457,J1460,J1469)</f>
        <v>0</v>
      </c>
    </row>
    <row r="1457" spans="1:10" s="37" customFormat="1" ht="15" hidden="1" customHeight="1">
      <c r="A1457" s="3112"/>
      <c r="B1457" s="3113"/>
      <c r="C1457" s="3114"/>
      <c r="D1457" s="3134"/>
      <c r="E1457" s="2497" t="s">
        <v>1109</v>
      </c>
      <c r="F1457" s="2498">
        <f>SUM(F1458:F1459)</f>
        <v>0</v>
      </c>
      <c r="G1457" s="2498">
        <f>SUM(G1458:G1459)</f>
        <v>0</v>
      </c>
      <c r="H1457" s="2498">
        <f>SUM(H1458:H1459)</f>
        <v>0</v>
      </c>
      <c r="I1457" s="2498">
        <f>SUM(I1458:I1459)</f>
        <v>0</v>
      </c>
      <c r="J1457" s="2499">
        <f>SUM(J1458:J1459)</f>
        <v>0</v>
      </c>
    </row>
    <row r="1458" spans="1:10" s="37" customFormat="1" ht="15" hidden="1" customHeight="1">
      <c r="A1458" s="3112"/>
      <c r="B1458" s="3113"/>
      <c r="C1458" s="3114"/>
      <c r="D1458" s="3134"/>
      <c r="E1458" s="2524" t="s">
        <v>418</v>
      </c>
      <c r="F1458" s="2490">
        <f>SUM(G1458:J1458)</f>
        <v>0</v>
      </c>
      <c r="G1458" s="2490"/>
      <c r="H1458" s="2490"/>
      <c r="I1458" s="2490"/>
      <c r="J1458" s="2491"/>
    </row>
    <row r="1459" spans="1:10" s="37" customFormat="1" ht="15" hidden="1" customHeight="1">
      <c r="A1459" s="3112"/>
      <c r="B1459" s="3113"/>
      <c r="C1459" s="3114"/>
      <c r="D1459" s="3134"/>
      <c r="E1459" s="2524" t="s">
        <v>328</v>
      </c>
      <c r="F1459" s="2490">
        <f>SUM(G1459:J1459)</f>
        <v>0</v>
      </c>
      <c r="G1459" s="2490"/>
      <c r="H1459" s="2490"/>
      <c r="I1459" s="2490"/>
      <c r="J1459" s="2491"/>
    </row>
    <row r="1460" spans="1:10" s="37" customFormat="1" ht="22.5">
      <c r="A1460" s="3112"/>
      <c r="B1460" s="3113"/>
      <c r="C1460" s="3114"/>
      <c r="D1460" s="3134"/>
      <c r="E1460" s="2497" t="s">
        <v>1093</v>
      </c>
      <c r="F1460" s="2498">
        <f>SUM(F1461:F1468)</f>
        <v>85100</v>
      </c>
      <c r="G1460" s="2498">
        <f>SUM(G1461:G1468)</f>
        <v>0</v>
      </c>
      <c r="H1460" s="2498">
        <f>SUM(H1461:H1468)</f>
        <v>75811</v>
      </c>
      <c r="I1460" s="2498">
        <f>SUM(I1461:I1468)</f>
        <v>9289</v>
      </c>
      <c r="J1460" s="2499">
        <f>SUM(J1461:J1468)</f>
        <v>0</v>
      </c>
    </row>
    <row r="1461" spans="1:10" s="37" customFormat="1" ht="14.1" customHeight="1">
      <c r="A1461" s="3112"/>
      <c r="B1461" s="3113"/>
      <c r="C1461" s="3114"/>
      <c r="D1461" s="3134"/>
      <c r="E1461" s="2489" t="s">
        <v>647</v>
      </c>
      <c r="F1461" s="2490">
        <f t="shared" ref="F1461:F1468" si="140">SUM(G1461:J1461)</f>
        <v>60922</v>
      </c>
      <c r="G1461" s="2490"/>
      <c r="H1461" s="2490">
        <v>60922</v>
      </c>
      <c r="I1461" s="2490"/>
      <c r="J1461" s="2491"/>
    </row>
    <row r="1462" spans="1:10" s="37" customFormat="1" ht="14.1" customHeight="1">
      <c r="A1462" s="3112"/>
      <c r="B1462" s="3113"/>
      <c r="C1462" s="3114"/>
      <c r="D1462" s="3134"/>
      <c r="E1462" s="2489" t="s">
        <v>592</v>
      </c>
      <c r="F1462" s="2490">
        <f t="shared" si="140"/>
        <v>7464</v>
      </c>
      <c r="G1462" s="2490"/>
      <c r="H1462" s="2490"/>
      <c r="I1462" s="2490">
        <v>7464</v>
      </c>
      <c r="J1462" s="2491"/>
    </row>
    <row r="1463" spans="1:10" s="37" customFormat="1" ht="14.1" customHeight="1">
      <c r="A1463" s="3112"/>
      <c r="B1463" s="3113"/>
      <c r="C1463" s="3114"/>
      <c r="D1463" s="3134"/>
      <c r="E1463" s="2489" t="s">
        <v>649</v>
      </c>
      <c r="F1463" s="2490">
        <f t="shared" si="140"/>
        <v>13032</v>
      </c>
      <c r="G1463" s="2490"/>
      <c r="H1463" s="2490">
        <v>13032</v>
      </c>
      <c r="I1463" s="2490"/>
      <c r="J1463" s="2491"/>
    </row>
    <row r="1464" spans="1:10" s="37" customFormat="1" ht="14.1" customHeight="1">
      <c r="A1464" s="3112"/>
      <c r="B1464" s="3113"/>
      <c r="C1464" s="3114"/>
      <c r="D1464" s="3134"/>
      <c r="E1464" s="2489" t="s">
        <v>596</v>
      </c>
      <c r="F1464" s="2490">
        <f t="shared" si="140"/>
        <v>1597</v>
      </c>
      <c r="G1464" s="2490"/>
      <c r="H1464" s="2490"/>
      <c r="I1464" s="2490">
        <v>1597</v>
      </c>
      <c r="J1464" s="2491"/>
    </row>
    <row r="1465" spans="1:10" s="37" customFormat="1" ht="14.1" customHeight="1">
      <c r="A1465" s="3112"/>
      <c r="B1465" s="3113"/>
      <c r="C1465" s="3114"/>
      <c r="D1465" s="3134"/>
      <c r="E1465" s="2489" t="s">
        <v>650</v>
      </c>
      <c r="F1465" s="2490">
        <f t="shared" si="140"/>
        <v>1857</v>
      </c>
      <c r="G1465" s="2490"/>
      <c r="H1465" s="2490">
        <v>1857</v>
      </c>
      <c r="I1465" s="2490"/>
      <c r="J1465" s="2491"/>
    </row>
    <row r="1466" spans="1:10" s="37" customFormat="1" ht="14.1" customHeight="1">
      <c r="A1466" s="3112"/>
      <c r="B1466" s="3113"/>
      <c r="C1466" s="3114"/>
      <c r="D1466" s="3134"/>
      <c r="E1466" s="2489" t="s">
        <v>598</v>
      </c>
      <c r="F1466" s="2490">
        <f t="shared" si="140"/>
        <v>228</v>
      </c>
      <c r="G1466" s="2490"/>
      <c r="H1466" s="2490"/>
      <c r="I1466" s="2490">
        <v>228</v>
      </c>
      <c r="J1466" s="2491"/>
    </row>
    <row r="1467" spans="1:10" s="37" customFormat="1" ht="15" hidden="1" customHeight="1">
      <c r="A1467" s="3112"/>
      <c r="B1467" s="3113"/>
      <c r="C1467" s="3114"/>
      <c r="D1467" s="3134"/>
      <c r="E1467" s="2489" t="s">
        <v>726</v>
      </c>
      <c r="F1467" s="2490">
        <f t="shared" si="140"/>
        <v>0</v>
      </c>
      <c r="G1467" s="2490"/>
      <c r="H1467" s="2490"/>
      <c r="I1467" s="2490"/>
      <c r="J1467" s="2491"/>
    </row>
    <row r="1468" spans="1:10" s="37" customFormat="1" ht="15" hidden="1" customHeight="1">
      <c r="A1468" s="3112"/>
      <c r="B1468" s="3113"/>
      <c r="C1468" s="3114"/>
      <c r="D1468" s="3134"/>
      <c r="E1468" s="2489" t="s">
        <v>600</v>
      </c>
      <c r="F1468" s="2490">
        <f t="shared" si="140"/>
        <v>0</v>
      </c>
      <c r="G1468" s="2490"/>
      <c r="H1468" s="2490"/>
      <c r="I1468" s="2490"/>
      <c r="J1468" s="2491"/>
    </row>
    <row r="1469" spans="1:10" s="37" customFormat="1" ht="22.5">
      <c r="A1469" s="3112"/>
      <c r="B1469" s="3113"/>
      <c r="C1469" s="3114"/>
      <c r="D1469" s="3134"/>
      <c r="E1469" s="2497" t="s">
        <v>1094</v>
      </c>
      <c r="F1469" s="2498">
        <f>SUM(F1470:F1479)</f>
        <v>39709</v>
      </c>
      <c r="G1469" s="2498">
        <f>SUM(G1470:G1479)</f>
        <v>0</v>
      </c>
      <c r="H1469" s="2498">
        <f>SUM(H1470:H1479)</f>
        <v>35374</v>
      </c>
      <c r="I1469" s="2498">
        <f>SUM(I1470:I1479)</f>
        <v>4335</v>
      </c>
      <c r="J1469" s="2499">
        <f>SUM(J1470:J1479)</f>
        <v>0</v>
      </c>
    </row>
    <row r="1470" spans="1:10" s="2523" customFormat="1" ht="14.1" customHeight="1">
      <c r="A1470" s="3112"/>
      <c r="B1470" s="3113"/>
      <c r="C1470" s="3114"/>
      <c r="D1470" s="3134"/>
      <c r="E1470" s="2524" t="s">
        <v>651</v>
      </c>
      <c r="F1470" s="2490">
        <f t="shared" ref="F1470:F1479" si="141">SUM(G1470:J1470)</f>
        <v>891</v>
      </c>
      <c r="G1470" s="2490"/>
      <c r="H1470" s="2490">
        <v>891</v>
      </c>
      <c r="I1470" s="2490"/>
      <c r="J1470" s="2491"/>
    </row>
    <row r="1471" spans="1:10" s="2523" customFormat="1" ht="14.1" customHeight="1">
      <c r="A1471" s="3112"/>
      <c r="B1471" s="3113"/>
      <c r="C1471" s="3114"/>
      <c r="D1471" s="3134"/>
      <c r="E1471" s="2524" t="s">
        <v>605</v>
      </c>
      <c r="F1471" s="2490">
        <f t="shared" si="141"/>
        <v>109</v>
      </c>
      <c r="G1471" s="2490"/>
      <c r="H1471" s="2490"/>
      <c r="I1471" s="2490">
        <v>109</v>
      </c>
      <c r="J1471" s="2491"/>
    </row>
    <row r="1472" spans="1:10" s="2523" customFormat="1" ht="14.1" customHeight="1">
      <c r="A1472" s="3112"/>
      <c r="B1472" s="3113"/>
      <c r="C1472" s="3114"/>
      <c r="D1472" s="3134"/>
      <c r="E1472" s="2524" t="s">
        <v>652</v>
      </c>
      <c r="F1472" s="2490">
        <f t="shared" si="141"/>
        <v>14942</v>
      </c>
      <c r="G1472" s="2490"/>
      <c r="H1472" s="2490">
        <v>14942</v>
      </c>
      <c r="I1472" s="2490"/>
      <c r="J1472" s="2491"/>
    </row>
    <row r="1473" spans="1:12" s="2523" customFormat="1" ht="14.1" customHeight="1">
      <c r="A1473" s="3112"/>
      <c r="B1473" s="3113"/>
      <c r="C1473" s="3114"/>
      <c r="D1473" s="3134"/>
      <c r="E1473" s="2524" t="s">
        <v>609</v>
      </c>
      <c r="F1473" s="2490">
        <f t="shared" si="141"/>
        <v>1831</v>
      </c>
      <c r="G1473" s="2490"/>
      <c r="H1473" s="2490"/>
      <c r="I1473" s="2490">
        <v>1831</v>
      </c>
      <c r="J1473" s="2491"/>
    </row>
    <row r="1474" spans="1:12" s="2523" customFormat="1" ht="14.1" customHeight="1">
      <c r="A1474" s="3112"/>
      <c r="B1474" s="3113"/>
      <c r="C1474" s="3114"/>
      <c r="D1474" s="3134"/>
      <c r="E1474" s="2524" t="s">
        <v>845</v>
      </c>
      <c r="F1474" s="2490">
        <f t="shared" si="141"/>
        <v>2138</v>
      </c>
      <c r="G1474" s="2490"/>
      <c r="H1474" s="2490">
        <v>2138</v>
      </c>
      <c r="I1474" s="2490"/>
      <c r="J1474" s="2491"/>
    </row>
    <row r="1475" spans="1:12" s="2523" customFormat="1" ht="14.1" customHeight="1">
      <c r="A1475" s="3112"/>
      <c r="B1475" s="3113"/>
      <c r="C1475" s="3114"/>
      <c r="D1475" s="3134"/>
      <c r="E1475" s="2524" t="s">
        <v>774</v>
      </c>
      <c r="F1475" s="2490">
        <f t="shared" si="141"/>
        <v>262</v>
      </c>
      <c r="G1475" s="2490"/>
      <c r="H1475" s="2490"/>
      <c r="I1475" s="2490">
        <v>262</v>
      </c>
      <c r="J1475" s="2491"/>
    </row>
    <row r="1476" spans="1:12" s="2523" customFormat="1" ht="14.1" customHeight="1">
      <c r="A1476" s="3112"/>
      <c r="B1476" s="3113"/>
      <c r="C1476" s="3114"/>
      <c r="D1476" s="3134"/>
      <c r="E1476" s="2524" t="s">
        <v>653</v>
      </c>
      <c r="F1476" s="2490">
        <f t="shared" si="141"/>
        <v>17403</v>
      </c>
      <c r="G1476" s="2490"/>
      <c r="H1476" s="2490">
        <v>17403</v>
      </c>
      <c r="I1476" s="2490"/>
      <c r="J1476" s="2491"/>
    </row>
    <row r="1477" spans="1:12" s="2523" customFormat="1" ht="14.1" customHeight="1">
      <c r="A1477" s="3112"/>
      <c r="B1477" s="3113"/>
      <c r="C1477" s="3114"/>
      <c r="D1477" s="3134"/>
      <c r="E1477" s="2524" t="s">
        <v>613</v>
      </c>
      <c r="F1477" s="2490">
        <f t="shared" si="141"/>
        <v>2133</v>
      </c>
      <c r="G1477" s="2490"/>
      <c r="H1477" s="2490"/>
      <c r="I1477" s="2490">
        <v>2133</v>
      </c>
      <c r="J1477" s="2491"/>
    </row>
    <row r="1478" spans="1:12" s="2523" customFormat="1" ht="15" hidden="1" customHeight="1">
      <c r="A1478" s="3112"/>
      <c r="B1478" s="3113"/>
      <c r="C1478" s="3114"/>
      <c r="D1478" s="3134"/>
      <c r="E1478" s="2524" t="s">
        <v>1215</v>
      </c>
      <c r="F1478" s="2490">
        <f t="shared" si="141"/>
        <v>0</v>
      </c>
      <c r="G1478" s="2490"/>
      <c r="H1478" s="2490"/>
      <c r="I1478" s="2490"/>
      <c r="J1478" s="2491"/>
    </row>
    <row r="1479" spans="1:12" s="2523" customFormat="1" ht="15" hidden="1" customHeight="1">
      <c r="A1479" s="3112"/>
      <c r="B1479" s="3113"/>
      <c r="C1479" s="3114"/>
      <c r="D1479" s="3134"/>
      <c r="E1479" s="2524" t="s">
        <v>615</v>
      </c>
      <c r="F1479" s="2490">
        <f t="shared" si="141"/>
        <v>0</v>
      </c>
      <c r="G1479" s="2490"/>
      <c r="H1479" s="2490"/>
      <c r="I1479" s="2490"/>
      <c r="J1479" s="2491"/>
    </row>
    <row r="1480" spans="1:12" s="37" customFormat="1" ht="15" customHeight="1">
      <c r="A1480" s="3112"/>
      <c r="B1480" s="3113"/>
      <c r="C1480" s="3114"/>
      <c r="D1480" s="3134"/>
      <c r="E1480" s="2492" t="s">
        <v>1087</v>
      </c>
      <c r="F1480" s="2487">
        <f>SUM(F1481:F1482)</f>
        <v>0</v>
      </c>
      <c r="G1480" s="2487">
        <f>SUM(G1481:G1482)</f>
        <v>0</v>
      </c>
      <c r="H1480" s="2487">
        <f>SUM(H1481:H1482)</f>
        <v>0</v>
      </c>
      <c r="I1480" s="2487">
        <f>SUM(I1481:I1482)</f>
        <v>0</v>
      </c>
      <c r="J1480" s="2488">
        <f>SUM(J1481:J1482)</f>
        <v>0</v>
      </c>
    </row>
    <row r="1481" spans="1:12" s="2295" customFormat="1" ht="15" hidden="1" customHeight="1">
      <c r="A1481" s="2504"/>
      <c r="B1481" s="2505"/>
      <c r="C1481" s="2506"/>
      <c r="D1481" s="2507"/>
      <c r="E1481" s="2508"/>
      <c r="F1481" s="2509">
        <f>SUM(G1481:J1481)</f>
        <v>0</v>
      </c>
      <c r="G1481" s="2509"/>
      <c r="H1481" s="2509"/>
      <c r="I1481" s="2509"/>
      <c r="J1481" s="2510"/>
      <c r="K1481" s="37"/>
    </row>
    <row r="1482" spans="1:12" s="2295" customFormat="1" ht="15" hidden="1" customHeight="1">
      <c r="A1482" s="2504"/>
      <c r="B1482" s="2505"/>
      <c r="C1482" s="2506"/>
      <c r="D1482" s="2507"/>
      <c r="E1482" s="2522"/>
      <c r="F1482" s="2509">
        <f>SUM(G1482:J1482)</f>
        <v>0</v>
      </c>
      <c r="G1482" s="2509"/>
      <c r="H1482" s="2509"/>
      <c r="I1482" s="2509"/>
      <c r="J1482" s="2510"/>
      <c r="K1482" s="37"/>
    </row>
    <row r="1483" spans="1:12" s="2295" customFormat="1" ht="15" hidden="1" customHeight="1">
      <c r="A1483" s="3151"/>
      <c r="B1483" s="3152" t="s">
        <v>1216</v>
      </c>
      <c r="C1483" s="3153">
        <v>801</v>
      </c>
      <c r="D1483" s="3154" t="s">
        <v>837</v>
      </c>
      <c r="E1483" s="2512" t="s">
        <v>1086</v>
      </c>
      <c r="F1483" s="2513">
        <f>SUM(F1484,F1510)</f>
        <v>0</v>
      </c>
      <c r="G1483" s="2513">
        <f>SUM(G1484,G1510)</f>
        <v>0</v>
      </c>
      <c r="H1483" s="2513">
        <f>SUM(H1484,H1510)</f>
        <v>0</v>
      </c>
      <c r="I1483" s="2513">
        <f>SUM(I1484,I1510)</f>
        <v>0</v>
      </c>
      <c r="J1483" s="2514">
        <f>SUM(J1484,J1510)</f>
        <v>0</v>
      </c>
      <c r="K1483" s="37"/>
      <c r="L1483" s="2320"/>
    </row>
    <row r="1484" spans="1:12" s="2295" customFormat="1" ht="15" hidden="1" customHeight="1">
      <c r="A1484" s="3151"/>
      <c r="B1484" s="3152"/>
      <c r="C1484" s="3153"/>
      <c r="D1484" s="3154"/>
      <c r="E1484" s="2515" t="s">
        <v>1092</v>
      </c>
      <c r="F1484" s="2516">
        <f>SUM(F1485,F1488,F1497)</f>
        <v>0</v>
      </c>
      <c r="G1484" s="2516">
        <f>SUM(G1485,G1488,G1497)</f>
        <v>0</v>
      </c>
      <c r="H1484" s="2516">
        <f>SUM(H1485,H1488,H1497)</f>
        <v>0</v>
      </c>
      <c r="I1484" s="2516">
        <f>SUM(I1485,I1488,I1497)</f>
        <v>0</v>
      </c>
      <c r="J1484" s="2517">
        <f>SUM(J1485,J1488,J1497)</f>
        <v>0</v>
      </c>
      <c r="K1484" s="37"/>
    </row>
    <row r="1485" spans="1:12" s="2295" customFormat="1" ht="15" hidden="1" customHeight="1">
      <c r="A1485" s="3151"/>
      <c r="B1485" s="3152"/>
      <c r="C1485" s="3153"/>
      <c r="D1485" s="3154"/>
      <c r="E1485" s="2518" t="s">
        <v>1109</v>
      </c>
      <c r="F1485" s="2519">
        <f>SUM(F1486:F1487)</f>
        <v>0</v>
      </c>
      <c r="G1485" s="2519">
        <f>SUM(G1486:G1487)</f>
        <v>0</v>
      </c>
      <c r="H1485" s="2519">
        <f>SUM(H1486:H1487)</f>
        <v>0</v>
      </c>
      <c r="I1485" s="2519">
        <f>SUM(I1486:I1487)</f>
        <v>0</v>
      </c>
      <c r="J1485" s="2520">
        <f>SUM(J1486:J1487)</f>
        <v>0</v>
      </c>
      <c r="K1485" s="37"/>
    </row>
    <row r="1486" spans="1:12" s="2295" customFormat="1" ht="15" hidden="1" customHeight="1">
      <c r="A1486" s="3151"/>
      <c r="B1486" s="3152"/>
      <c r="C1486" s="3153"/>
      <c r="D1486" s="3154"/>
      <c r="E1486" s="2546" t="s">
        <v>418</v>
      </c>
      <c r="F1486" s="2509">
        <f>SUM(G1486:J1486)</f>
        <v>0</v>
      </c>
      <c r="G1486" s="2509"/>
      <c r="H1486" s="2509"/>
      <c r="I1486" s="2509"/>
      <c r="J1486" s="2510"/>
      <c r="K1486" s="37"/>
    </row>
    <row r="1487" spans="1:12" s="2295" customFormat="1" ht="15" hidden="1" customHeight="1">
      <c r="A1487" s="3151"/>
      <c r="B1487" s="3152"/>
      <c r="C1487" s="3153"/>
      <c r="D1487" s="3154"/>
      <c r="E1487" s="2546" t="s">
        <v>328</v>
      </c>
      <c r="F1487" s="2509">
        <f>SUM(G1487:J1487)</f>
        <v>0</v>
      </c>
      <c r="G1487" s="2509"/>
      <c r="H1487" s="2509"/>
      <c r="I1487" s="2509"/>
      <c r="J1487" s="2510"/>
      <c r="K1487" s="37"/>
    </row>
    <row r="1488" spans="1:12" s="2295" customFormat="1" ht="15" hidden="1" customHeight="1">
      <c r="A1488" s="3151"/>
      <c r="B1488" s="3152"/>
      <c r="C1488" s="3153"/>
      <c r="D1488" s="3154"/>
      <c r="E1488" s="2518" t="s">
        <v>1093</v>
      </c>
      <c r="F1488" s="2519">
        <f>SUM(F1489:F1496)</f>
        <v>0</v>
      </c>
      <c r="G1488" s="2519">
        <f t="shared" ref="G1488:J1488" si="142">SUM(G1489:G1496)</f>
        <v>0</v>
      </c>
      <c r="H1488" s="2519">
        <f t="shared" si="142"/>
        <v>0</v>
      </c>
      <c r="I1488" s="2519">
        <f t="shared" si="142"/>
        <v>0</v>
      </c>
      <c r="J1488" s="2520">
        <f t="shared" si="142"/>
        <v>0</v>
      </c>
      <c r="K1488" s="37"/>
    </row>
    <row r="1489" spans="1:11" s="2295" customFormat="1" ht="15" hidden="1" customHeight="1">
      <c r="A1489" s="3151"/>
      <c r="B1489" s="3152"/>
      <c r="C1489" s="3153"/>
      <c r="D1489" s="3154"/>
      <c r="E1489" s="2508" t="s">
        <v>647</v>
      </c>
      <c r="F1489" s="2509">
        <f t="shared" ref="F1489:F1496" si="143">SUM(G1489:J1489)</f>
        <v>0</v>
      </c>
      <c r="G1489" s="2509"/>
      <c r="H1489" s="2509"/>
      <c r="I1489" s="2509"/>
      <c r="J1489" s="2510"/>
      <c r="K1489" s="37"/>
    </row>
    <row r="1490" spans="1:11" s="2295" customFormat="1" ht="15" hidden="1" customHeight="1">
      <c r="A1490" s="3151"/>
      <c r="B1490" s="3152"/>
      <c r="C1490" s="3153"/>
      <c r="D1490" s="3154"/>
      <c r="E1490" s="2508" t="s">
        <v>592</v>
      </c>
      <c r="F1490" s="2509">
        <f t="shared" si="143"/>
        <v>0</v>
      </c>
      <c r="G1490" s="2509"/>
      <c r="H1490" s="2509"/>
      <c r="I1490" s="2509"/>
      <c r="J1490" s="2510"/>
      <c r="K1490" s="37"/>
    </row>
    <row r="1491" spans="1:11" s="2295" customFormat="1" ht="15" hidden="1" customHeight="1">
      <c r="A1491" s="3151"/>
      <c r="B1491" s="3152"/>
      <c r="C1491" s="3153"/>
      <c r="D1491" s="3154"/>
      <c r="E1491" s="2508" t="s">
        <v>649</v>
      </c>
      <c r="F1491" s="2509">
        <f t="shared" si="143"/>
        <v>0</v>
      </c>
      <c r="G1491" s="2509"/>
      <c r="H1491" s="2509"/>
      <c r="I1491" s="2509"/>
      <c r="J1491" s="2510"/>
      <c r="K1491" s="37"/>
    </row>
    <row r="1492" spans="1:11" s="2295" customFormat="1" ht="15" hidden="1" customHeight="1">
      <c r="A1492" s="3151"/>
      <c r="B1492" s="3152"/>
      <c r="C1492" s="3153"/>
      <c r="D1492" s="3154"/>
      <c r="E1492" s="2508" t="s">
        <v>596</v>
      </c>
      <c r="F1492" s="2509">
        <f t="shared" si="143"/>
        <v>0</v>
      </c>
      <c r="G1492" s="2509"/>
      <c r="H1492" s="2509"/>
      <c r="I1492" s="2509"/>
      <c r="J1492" s="2510"/>
      <c r="K1492" s="37"/>
    </row>
    <row r="1493" spans="1:11" s="2295" customFormat="1" ht="15" hidden="1" customHeight="1">
      <c r="A1493" s="3151"/>
      <c r="B1493" s="3152"/>
      <c r="C1493" s="3153"/>
      <c r="D1493" s="3154"/>
      <c r="E1493" s="2508" t="s">
        <v>650</v>
      </c>
      <c r="F1493" s="2509">
        <f t="shared" si="143"/>
        <v>0</v>
      </c>
      <c r="G1493" s="2509"/>
      <c r="H1493" s="2509"/>
      <c r="I1493" s="2509"/>
      <c r="J1493" s="2510"/>
      <c r="K1493" s="37"/>
    </row>
    <row r="1494" spans="1:11" s="2295" customFormat="1" ht="15" hidden="1" customHeight="1">
      <c r="A1494" s="3151"/>
      <c r="B1494" s="3152"/>
      <c r="C1494" s="3153"/>
      <c r="D1494" s="3154"/>
      <c r="E1494" s="2508" t="s">
        <v>598</v>
      </c>
      <c r="F1494" s="2509">
        <f t="shared" si="143"/>
        <v>0</v>
      </c>
      <c r="G1494" s="2509"/>
      <c r="H1494" s="2509"/>
      <c r="I1494" s="2509"/>
      <c r="J1494" s="2510"/>
      <c r="K1494" s="37"/>
    </row>
    <row r="1495" spans="1:11" s="2295" customFormat="1" ht="15" hidden="1" customHeight="1">
      <c r="A1495" s="3151"/>
      <c r="B1495" s="3152"/>
      <c r="C1495" s="3153"/>
      <c r="D1495" s="3154"/>
      <c r="E1495" s="2508" t="s">
        <v>726</v>
      </c>
      <c r="F1495" s="2509">
        <f t="shared" si="143"/>
        <v>0</v>
      </c>
      <c r="G1495" s="2509"/>
      <c r="H1495" s="2509"/>
      <c r="I1495" s="2509"/>
      <c r="J1495" s="2510"/>
      <c r="K1495" s="37"/>
    </row>
    <row r="1496" spans="1:11" s="2295" customFormat="1" ht="15" hidden="1" customHeight="1">
      <c r="A1496" s="3151"/>
      <c r="B1496" s="3152"/>
      <c r="C1496" s="3153"/>
      <c r="D1496" s="3154"/>
      <c r="E1496" s="2508" t="s">
        <v>600</v>
      </c>
      <c r="F1496" s="2509">
        <f t="shared" si="143"/>
        <v>0</v>
      </c>
      <c r="G1496" s="2509"/>
      <c r="H1496" s="2509"/>
      <c r="I1496" s="2509"/>
      <c r="J1496" s="2510"/>
      <c r="K1496" s="37"/>
    </row>
    <row r="1497" spans="1:11" s="2295" customFormat="1" ht="15" hidden="1" customHeight="1">
      <c r="A1497" s="3151"/>
      <c r="B1497" s="3152"/>
      <c r="C1497" s="3153"/>
      <c r="D1497" s="3154"/>
      <c r="E1497" s="2518" t="s">
        <v>1094</v>
      </c>
      <c r="F1497" s="2519">
        <f>SUM(F1498:F1509)</f>
        <v>0</v>
      </c>
      <c r="G1497" s="2519">
        <f>SUM(G1498:G1509)</f>
        <v>0</v>
      </c>
      <c r="H1497" s="2519">
        <f>SUM(H1498:H1509)</f>
        <v>0</v>
      </c>
      <c r="I1497" s="2519">
        <f>SUM(I1498:I1509)</f>
        <v>0</v>
      </c>
      <c r="J1497" s="2520">
        <f>SUM(J1498:J1509)</f>
        <v>0</v>
      </c>
      <c r="K1497" s="37"/>
    </row>
    <row r="1498" spans="1:11" s="2485" customFormat="1" ht="15" hidden="1" customHeight="1">
      <c r="A1498" s="3151"/>
      <c r="B1498" s="3152"/>
      <c r="C1498" s="3153"/>
      <c r="D1498" s="3154"/>
      <c r="E1498" s="2546" t="s">
        <v>839</v>
      </c>
      <c r="F1498" s="2509">
        <f t="shared" ref="F1498:F1509" si="144">SUM(G1498:J1498)</f>
        <v>0</v>
      </c>
      <c r="G1498" s="2509"/>
      <c r="H1498" s="2509"/>
      <c r="I1498" s="2509"/>
      <c r="J1498" s="2510"/>
      <c r="K1498" s="2523"/>
    </row>
    <row r="1499" spans="1:11" s="2485" customFormat="1" ht="15" hidden="1" customHeight="1">
      <c r="A1499" s="3151"/>
      <c r="B1499" s="3152"/>
      <c r="C1499" s="3153"/>
      <c r="D1499" s="3154"/>
      <c r="E1499" s="2546" t="s">
        <v>742</v>
      </c>
      <c r="F1499" s="2509">
        <f t="shared" si="144"/>
        <v>0</v>
      </c>
      <c r="G1499" s="2509"/>
      <c r="H1499" s="2509"/>
      <c r="I1499" s="2509"/>
      <c r="J1499" s="2510"/>
      <c r="K1499" s="2523"/>
    </row>
    <row r="1500" spans="1:11" s="2485" customFormat="1" ht="15" hidden="1" customHeight="1">
      <c r="A1500" s="3151"/>
      <c r="B1500" s="3152"/>
      <c r="C1500" s="3153"/>
      <c r="D1500" s="3154"/>
      <c r="E1500" s="2546" t="s">
        <v>651</v>
      </c>
      <c r="F1500" s="2509">
        <f t="shared" si="144"/>
        <v>0</v>
      </c>
      <c r="G1500" s="2509"/>
      <c r="H1500" s="2509"/>
      <c r="I1500" s="2509"/>
      <c r="J1500" s="2510"/>
      <c r="K1500" s="2523"/>
    </row>
    <row r="1501" spans="1:11" s="2485" customFormat="1" ht="15" hidden="1" customHeight="1">
      <c r="A1501" s="3151"/>
      <c r="B1501" s="3152"/>
      <c r="C1501" s="3153"/>
      <c r="D1501" s="3154"/>
      <c r="E1501" s="2546" t="s">
        <v>605</v>
      </c>
      <c r="F1501" s="2509">
        <f t="shared" si="144"/>
        <v>0</v>
      </c>
      <c r="G1501" s="2509"/>
      <c r="H1501" s="2509"/>
      <c r="I1501" s="2509"/>
      <c r="J1501" s="2510"/>
      <c r="K1501" s="2523"/>
    </row>
    <row r="1502" spans="1:11" s="2485" customFormat="1" ht="15" hidden="1" customHeight="1">
      <c r="A1502" s="3151"/>
      <c r="B1502" s="3152"/>
      <c r="C1502" s="3153"/>
      <c r="D1502" s="3154"/>
      <c r="E1502" s="2546" t="s">
        <v>840</v>
      </c>
      <c r="F1502" s="2509">
        <f t="shared" si="144"/>
        <v>0</v>
      </c>
      <c r="G1502" s="2509"/>
      <c r="H1502" s="2509"/>
      <c r="I1502" s="2509"/>
      <c r="J1502" s="2510"/>
      <c r="K1502" s="2523"/>
    </row>
    <row r="1503" spans="1:11" s="2485" customFormat="1" ht="15" hidden="1" customHeight="1">
      <c r="A1503" s="3151"/>
      <c r="B1503" s="3152"/>
      <c r="C1503" s="3153"/>
      <c r="D1503" s="3154"/>
      <c r="E1503" s="2546" t="s">
        <v>773</v>
      </c>
      <c r="F1503" s="2509">
        <f t="shared" si="144"/>
        <v>0</v>
      </c>
      <c r="G1503" s="2509"/>
      <c r="H1503" s="2509"/>
      <c r="I1503" s="2509"/>
      <c r="J1503" s="2510"/>
      <c r="K1503" s="2523"/>
    </row>
    <row r="1504" spans="1:11" s="2485" customFormat="1" ht="15" hidden="1" customHeight="1">
      <c r="A1504" s="3151"/>
      <c r="B1504" s="3152"/>
      <c r="C1504" s="3153"/>
      <c r="D1504" s="3154"/>
      <c r="E1504" s="2546" t="s">
        <v>835</v>
      </c>
      <c r="F1504" s="2509">
        <f t="shared" si="144"/>
        <v>0</v>
      </c>
      <c r="G1504" s="2509"/>
      <c r="H1504" s="2509"/>
      <c r="I1504" s="2509"/>
      <c r="J1504" s="2510"/>
      <c r="K1504" s="2523"/>
    </row>
    <row r="1505" spans="1:11" s="2485" customFormat="1" ht="15" hidden="1" customHeight="1">
      <c r="A1505" s="3151"/>
      <c r="B1505" s="3152"/>
      <c r="C1505" s="3153"/>
      <c r="D1505" s="3154"/>
      <c r="E1505" s="2546" t="s">
        <v>836</v>
      </c>
      <c r="F1505" s="2509">
        <f t="shared" si="144"/>
        <v>0</v>
      </c>
      <c r="G1505" s="2509"/>
      <c r="H1505" s="2509"/>
      <c r="I1505" s="2509"/>
      <c r="J1505" s="2510"/>
      <c r="K1505" s="2523"/>
    </row>
    <row r="1506" spans="1:11" s="2485" customFormat="1" ht="15" hidden="1" customHeight="1">
      <c r="A1506" s="3151"/>
      <c r="B1506" s="3152"/>
      <c r="C1506" s="3153"/>
      <c r="D1506" s="3154"/>
      <c r="E1506" s="2546" t="s">
        <v>652</v>
      </c>
      <c r="F1506" s="2509">
        <f t="shared" si="144"/>
        <v>0</v>
      </c>
      <c r="G1506" s="2509"/>
      <c r="H1506" s="2509"/>
      <c r="I1506" s="2509"/>
      <c r="J1506" s="2510"/>
      <c r="K1506" s="2523"/>
    </row>
    <row r="1507" spans="1:11" s="2485" customFormat="1" ht="15" hidden="1" customHeight="1">
      <c r="A1507" s="3151"/>
      <c r="B1507" s="3152"/>
      <c r="C1507" s="3153"/>
      <c r="D1507" s="3154"/>
      <c r="E1507" s="2546" t="s">
        <v>609</v>
      </c>
      <c r="F1507" s="2509">
        <f t="shared" si="144"/>
        <v>0</v>
      </c>
      <c r="G1507" s="2509"/>
      <c r="H1507" s="2509"/>
      <c r="I1507" s="2509"/>
      <c r="J1507" s="2510"/>
      <c r="K1507" s="2523"/>
    </row>
    <row r="1508" spans="1:11" s="2485" customFormat="1" ht="15" hidden="1" customHeight="1">
      <c r="A1508" s="3151"/>
      <c r="B1508" s="3152"/>
      <c r="C1508" s="3153"/>
      <c r="D1508" s="3154"/>
      <c r="E1508" s="2546" t="s">
        <v>653</v>
      </c>
      <c r="F1508" s="2509">
        <f t="shared" si="144"/>
        <v>0</v>
      </c>
      <c r="G1508" s="2509"/>
      <c r="H1508" s="2509"/>
      <c r="I1508" s="2509"/>
      <c r="J1508" s="2510"/>
      <c r="K1508" s="2523"/>
    </row>
    <row r="1509" spans="1:11" s="2485" customFormat="1" ht="15" hidden="1" customHeight="1">
      <c r="A1509" s="3151"/>
      <c r="B1509" s="3152"/>
      <c r="C1509" s="3153"/>
      <c r="D1509" s="3154"/>
      <c r="E1509" s="2546" t="s">
        <v>613</v>
      </c>
      <c r="F1509" s="2509">
        <f t="shared" si="144"/>
        <v>0</v>
      </c>
      <c r="G1509" s="2509"/>
      <c r="H1509" s="2509"/>
      <c r="I1509" s="2509"/>
      <c r="J1509" s="2510"/>
      <c r="K1509" s="2523"/>
    </row>
    <row r="1510" spans="1:11" s="2295" customFormat="1" ht="15" hidden="1" customHeight="1">
      <c r="A1510" s="3151"/>
      <c r="B1510" s="3152"/>
      <c r="C1510" s="3153"/>
      <c r="D1510" s="3154"/>
      <c r="E1510" s="2521" t="s">
        <v>1087</v>
      </c>
      <c r="F1510" s="2516">
        <f>SUM(F1511:F1512)</f>
        <v>0</v>
      </c>
      <c r="G1510" s="2516">
        <f>SUM(G1511:G1512)</f>
        <v>0</v>
      </c>
      <c r="H1510" s="2516">
        <f>SUM(H1511:H1512)</f>
        <v>0</v>
      </c>
      <c r="I1510" s="2516">
        <f>SUM(I1511:I1512)</f>
        <v>0</v>
      </c>
      <c r="J1510" s="2517">
        <f>SUM(J1511:J1512)</f>
        <v>0</v>
      </c>
      <c r="K1510" s="37"/>
    </row>
    <row r="1511" spans="1:11" s="2295" customFormat="1" ht="15" hidden="1" customHeight="1">
      <c r="A1511" s="2504"/>
      <c r="B1511" s="2505"/>
      <c r="C1511" s="2506"/>
      <c r="D1511" s="2507"/>
      <c r="E1511" s="2508"/>
      <c r="F1511" s="2509">
        <f>SUM(G1511:J1511)</f>
        <v>0</v>
      </c>
      <c r="G1511" s="2509"/>
      <c r="H1511" s="2509"/>
      <c r="I1511" s="2509"/>
      <c r="J1511" s="2510"/>
      <c r="K1511" s="37"/>
    </row>
    <row r="1512" spans="1:11" s="2295" customFormat="1" ht="15" hidden="1" customHeight="1">
      <c r="A1512" s="2547"/>
      <c r="B1512" s="2548"/>
      <c r="C1512" s="2549"/>
      <c r="D1512" s="2550"/>
      <c r="E1512" s="2551"/>
      <c r="F1512" s="2552">
        <f>SUM(G1512:J1512)</f>
        <v>0</v>
      </c>
      <c r="G1512" s="2552"/>
      <c r="H1512" s="2552"/>
      <c r="I1512" s="2552"/>
      <c r="J1512" s="2553"/>
      <c r="K1512" s="37"/>
    </row>
    <row r="1513" spans="1:11" s="37" customFormat="1" ht="26.25" customHeight="1">
      <c r="A1513" s="2554" t="s">
        <v>1217</v>
      </c>
      <c r="B1513" s="3167" t="s">
        <v>1218</v>
      </c>
      <c r="C1513" s="3167"/>
      <c r="D1513" s="3167"/>
      <c r="E1513" s="3167"/>
      <c r="F1513" s="2525">
        <f>F1536+F1515</f>
        <v>127963</v>
      </c>
      <c r="G1513" s="2525">
        <f>G1536+G1515</f>
        <v>12796</v>
      </c>
      <c r="H1513" s="2525">
        <f>H1536+H1515</f>
        <v>108768</v>
      </c>
      <c r="I1513" s="2525">
        <f>I1536+I1515</f>
        <v>6399</v>
      </c>
      <c r="J1513" s="2525">
        <f>J1536+J1515</f>
        <v>0</v>
      </c>
    </row>
    <row r="1514" spans="1:11" s="37" customFormat="1" ht="10.5" customHeight="1">
      <c r="A1514" s="3171"/>
      <c r="B1514" s="3172"/>
      <c r="C1514" s="3172"/>
      <c r="D1514" s="3172"/>
      <c r="E1514" s="3172"/>
      <c r="F1514" s="3172"/>
      <c r="G1514" s="3172"/>
      <c r="H1514" s="3172"/>
      <c r="I1514" s="3172"/>
      <c r="J1514" s="3173"/>
    </row>
    <row r="1515" spans="1:11" s="37" customFormat="1" ht="22.5">
      <c r="A1515" s="3112" t="s">
        <v>1084</v>
      </c>
      <c r="B1515" s="3113" t="s">
        <v>1219</v>
      </c>
      <c r="C1515" s="3114">
        <v>801</v>
      </c>
      <c r="D1515" s="3134" t="s">
        <v>827</v>
      </c>
      <c r="E1515" s="2479" t="s">
        <v>1086</v>
      </c>
      <c r="F1515" s="2480">
        <f>SUM(F1516,F1533)</f>
        <v>127963</v>
      </c>
      <c r="G1515" s="2480">
        <f>SUM(G1516,G1533)</f>
        <v>12796</v>
      </c>
      <c r="H1515" s="2480">
        <f>SUM(H1516,H1533)</f>
        <v>108768</v>
      </c>
      <c r="I1515" s="2480">
        <f>SUM(I1516,I1533)</f>
        <v>6399</v>
      </c>
      <c r="J1515" s="2481">
        <f>SUM(J1516,J1533)</f>
        <v>0</v>
      </c>
    </row>
    <row r="1516" spans="1:11" s="37" customFormat="1" ht="21">
      <c r="A1516" s="3112"/>
      <c r="B1516" s="3113"/>
      <c r="C1516" s="3114"/>
      <c r="D1516" s="3134"/>
      <c r="E1516" s="2486" t="s">
        <v>1092</v>
      </c>
      <c r="F1516" s="2487">
        <f>SUM(F1517,F1526)</f>
        <v>127963</v>
      </c>
      <c r="G1516" s="2487">
        <f>SUM(G1517,G1526)</f>
        <v>12796</v>
      </c>
      <c r="H1516" s="2487">
        <f>SUM(H1517,H1526)</f>
        <v>108768</v>
      </c>
      <c r="I1516" s="2487">
        <f>SUM(I1517,I1526)</f>
        <v>6399</v>
      </c>
      <c r="J1516" s="2488">
        <f>SUM(J1517,J1526)</f>
        <v>0</v>
      </c>
    </row>
    <row r="1517" spans="1:11" s="37" customFormat="1" ht="22.5">
      <c r="A1517" s="3112"/>
      <c r="B1517" s="3113"/>
      <c r="C1517" s="3114"/>
      <c r="D1517" s="3134"/>
      <c r="E1517" s="2497" t="s">
        <v>1093</v>
      </c>
      <c r="F1517" s="2498">
        <f>SUM(F1518:F1525)</f>
        <v>41593</v>
      </c>
      <c r="G1517" s="2498">
        <f t="shared" ref="G1517:J1517" si="145">SUM(G1518:G1525)</f>
        <v>12796</v>
      </c>
      <c r="H1517" s="2498">
        <f t="shared" si="145"/>
        <v>27757</v>
      </c>
      <c r="I1517" s="2498">
        <f t="shared" si="145"/>
        <v>1040</v>
      </c>
      <c r="J1517" s="2499">
        <f t="shared" si="145"/>
        <v>0</v>
      </c>
    </row>
    <row r="1518" spans="1:11" s="2523" customFormat="1" ht="14.1" customHeight="1">
      <c r="A1518" s="3112"/>
      <c r="B1518" s="3113"/>
      <c r="C1518" s="3114"/>
      <c r="D1518" s="3134"/>
      <c r="E1518" s="2524" t="s">
        <v>647</v>
      </c>
      <c r="F1518" s="2490">
        <f t="shared" ref="F1518:F1525" si="146">SUM(G1518:J1518)</f>
        <v>10831</v>
      </c>
      <c r="G1518" s="2490"/>
      <c r="H1518" s="2490">
        <v>10831</v>
      </c>
      <c r="I1518" s="2490"/>
      <c r="J1518" s="2491"/>
    </row>
    <row r="1519" spans="1:11" s="2523" customFormat="1" ht="14.1" customHeight="1">
      <c r="A1519" s="3112"/>
      <c r="B1519" s="3113"/>
      <c r="C1519" s="3114"/>
      <c r="D1519" s="3134"/>
      <c r="E1519" s="2524" t="s">
        <v>592</v>
      </c>
      <c r="F1519" s="2490">
        <f t="shared" si="146"/>
        <v>10831</v>
      </c>
      <c r="G1519" s="2490">
        <v>10831</v>
      </c>
      <c r="H1519" s="2490"/>
      <c r="I1519" s="2490"/>
      <c r="J1519" s="2491"/>
    </row>
    <row r="1520" spans="1:11" s="37" customFormat="1" ht="14.1" customHeight="1">
      <c r="A1520" s="3112"/>
      <c r="B1520" s="3113"/>
      <c r="C1520" s="3114"/>
      <c r="D1520" s="3134"/>
      <c r="E1520" s="2489" t="s">
        <v>649</v>
      </c>
      <c r="F1520" s="2490">
        <f t="shared" si="146"/>
        <v>16823</v>
      </c>
      <c r="G1520" s="2490"/>
      <c r="H1520" s="2490">
        <v>16823</v>
      </c>
      <c r="I1520" s="2490"/>
      <c r="J1520" s="2491"/>
    </row>
    <row r="1521" spans="1:11" s="37" customFormat="1" ht="14.1" customHeight="1">
      <c r="A1521" s="3112"/>
      <c r="B1521" s="3113"/>
      <c r="C1521" s="3114"/>
      <c r="D1521" s="3134"/>
      <c r="E1521" s="2489" t="s">
        <v>596</v>
      </c>
      <c r="F1521" s="2490">
        <f t="shared" si="146"/>
        <v>2902</v>
      </c>
      <c r="G1521" s="2490">
        <v>1862</v>
      </c>
      <c r="H1521" s="2490"/>
      <c r="I1521" s="2490">
        <v>1040</v>
      </c>
      <c r="J1521" s="2491"/>
    </row>
    <row r="1522" spans="1:11" s="37" customFormat="1" ht="14.1" customHeight="1">
      <c r="A1522" s="3112"/>
      <c r="B1522" s="3113"/>
      <c r="C1522" s="3114"/>
      <c r="D1522" s="3134"/>
      <c r="E1522" s="2489" t="s">
        <v>650</v>
      </c>
      <c r="F1522" s="2490">
        <f t="shared" si="146"/>
        <v>103</v>
      </c>
      <c r="G1522" s="2490"/>
      <c r="H1522" s="2490">
        <v>103</v>
      </c>
      <c r="I1522" s="2490"/>
      <c r="J1522" s="2491"/>
    </row>
    <row r="1523" spans="1:11" s="37" customFormat="1" ht="14.1" customHeight="1">
      <c r="A1523" s="3112"/>
      <c r="B1523" s="3113"/>
      <c r="C1523" s="3114"/>
      <c r="D1523" s="3134"/>
      <c r="E1523" s="2489" t="s">
        <v>598</v>
      </c>
      <c r="F1523" s="2490">
        <f t="shared" si="146"/>
        <v>103</v>
      </c>
      <c r="G1523" s="2490">
        <v>103</v>
      </c>
      <c r="H1523" s="2490"/>
      <c r="I1523" s="2490"/>
      <c r="J1523" s="2491"/>
    </row>
    <row r="1524" spans="1:11" s="37" customFormat="1" ht="15" hidden="1" customHeight="1">
      <c r="A1524" s="3112"/>
      <c r="B1524" s="3113"/>
      <c r="C1524" s="3114"/>
      <c r="D1524" s="3134"/>
      <c r="E1524" s="2489" t="s">
        <v>726</v>
      </c>
      <c r="F1524" s="2490">
        <f t="shared" si="146"/>
        <v>0</v>
      </c>
      <c r="G1524" s="2490"/>
      <c r="H1524" s="2490"/>
      <c r="I1524" s="2490"/>
      <c r="J1524" s="2491"/>
    </row>
    <row r="1525" spans="1:11" s="37" customFormat="1" ht="15" hidden="1" customHeight="1">
      <c r="A1525" s="3112"/>
      <c r="B1525" s="3113"/>
      <c r="C1525" s="3114"/>
      <c r="D1525" s="3134"/>
      <c r="E1525" s="2489" t="s">
        <v>600</v>
      </c>
      <c r="F1525" s="2490">
        <f t="shared" si="146"/>
        <v>0</v>
      </c>
      <c r="G1525" s="2490"/>
      <c r="H1525" s="2490"/>
      <c r="I1525" s="2490"/>
      <c r="J1525" s="2491"/>
    </row>
    <row r="1526" spans="1:11" s="37" customFormat="1" ht="22.5">
      <c r="A1526" s="3112"/>
      <c r="B1526" s="3113"/>
      <c r="C1526" s="3114"/>
      <c r="D1526" s="3134"/>
      <c r="E1526" s="2497" t="s">
        <v>1094</v>
      </c>
      <c r="F1526" s="2498">
        <f>SUM(F1527:F1532)</f>
        <v>86370</v>
      </c>
      <c r="G1526" s="2498">
        <f>SUM(G1527:G1532)</f>
        <v>0</v>
      </c>
      <c r="H1526" s="2498">
        <f>SUM(H1527:H1532)</f>
        <v>81011</v>
      </c>
      <c r="I1526" s="2498">
        <f>SUM(I1527:I1532)</f>
        <v>5359</v>
      </c>
      <c r="J1526" s="2499">
        <f>SUM(J1527:J1532)</f>
        <v>0</v>
      </c>
    </row>
    <row r="1527" spans="1:11" s="37" customFormat="1" ht="14.1" customHeight="1">
      <c r="A1527" s="3112"/>
      <c r="B1527" s="3113"/>
      <c r="C1527" s="3114"/>
      <c r="D1527" s="3134"/>
      <c r="E1527" s="2489" t="s">
        <v>833</v>
      </c>
      <c r="F1527" s="2490">
        <f t="shared" ref="F1527:F1532" si="147">SUM(G1527:J1527)</f>
        <v>44511</v>
      </c>
      <c r="G1527" s="2490"/>
      <c r="H1527" s="2490">
        <v>44511</v>
      </c>
      <c r="I1527" s="2490"/>
      <c r="J1527" s="2491"/>
    </row>
    <row r="1528" spans="1:11" s="37" customFormat="1" ht="14.1" customHeight="1">
      <c r="A1528" s="3112"/>
      <c r="B1528" s="3113"/>
      <c r="C1528" s="3114"/>
      <c r="D1528" s="3134"/>
      <c r="E1528" s="2489" t="s">
        <v>834</v>
      </c>
      <c r="F1528" s="2490">
        <f t="shared" si="147"/>
        <v>5359</v>
      </c>
      <c r="G1528" s="2490"/>
      <c r="H1528" s="2490"/>
      <c r="I1528" s="2490">
        <v>5359</v>
      </c>
      <c r="J1528" s="2491"/>
    </row>
    <row r="1529" spans="1:11" s="37" customFormat="1" ht="14.1" customHeight="1">
      <c r="A1529" s="3112"/>
      <c r="B1529" s="3113"/>
      <c r="C1529" s="3114"/>
      <c r="D1529" s="3134"/>
      <c r="E1529" s="2489" t="s">
        <v>652</v>
      </c>
      <c r="F1529" s="2490">
        <f t="shared" si="147"/>
        <v>36500</v>
      </c>
      <c r="G1529" s="2490"/>
      <c r="H1529" s="2490">
        <v>36500</v>
      </c>
      <c r="I1529" s="2490"/>
      <c r="J1529" s="2491"/>
    </row>
    <row r="1530" spans="1:11" s="37" customFormat="1" ht="14.1" hidden="1" customHeight="1">
      <c r="A1530" s="3112"/>
      <c r="B1530" s="3113"/>
      <c r="C1530" s="3114"/>
      <c r="D1530" s="3134"/>
      <c r="E1530" s="2489" t="s">
        <v>609</v>
      </c>
      <c r="F1530" s="2490">
        <f t="shared" si="147"/>
        <v>0</v>
      </c>
      <c r="G1530" s="2490"/>
      <c r="H1530" s="2490"/>
      <c r="I1530" s="2490"/>
      <c r="J1530" s="2491"/>
    </row>
    <row r="1531" spans="1:11" s="37" customFormat="1" ht="15" hidden="1" customHeight="1">
      <c r="A1531" s="3112"/>
      <c r="B1531" s="3113"/>
      <c r="C1531" s="3114"/>
      <c r="D1531" s="3134"/>
      <c r="E1531" s="2489" t="s">
        <v>654</v>
      </c>
      <c r="F1531" s="2490">
        <f t="shared" si="147"/>
        <v>0</v>
      </c>
      <c r="G1531" s="2490"/>
      <c r="H1531" s="2490"/>
      <c r="I1531" s="2490"/>
      <c r="J1531" s="2491"/>
    </row>
    <row r="1532" spans="1:11" s="37" customFormat="1" ht="15" hidden="1" customHeight="1">
      <c r="A1532" s="3112"/>
      <c r="B1532" s="3113"/>
      <c r="C1532" s="3114"/>
      <c r="D1532" s="3134"/>
      <c r="E1532" s="2489" t="s">
        <v>617</v>
      </c>
      <c r="F1532" s="2490">
        <f t="shared" si="147"/>
        <v>0</v>
      </c>
      <c r="G1532" s="2490"/>
      <c r="H1532" s="2490"/>
      <c r="I1532" s="2490"/>
      <c r="J1532" s="2491"/>
    </row>
    <row r="1533" spans="1:11" s="37" customFormat="1" ht="15" customHeight="1" thickBot="1">
      <c r="A1533" s="3112"/>
      <c r="B1533" s="3113"/>
      <c r="C1533" s="3114"/>
      <c r="D1533" s="3134"/>
      <c r="E1533" s="2492" t="s">
        <v>1087</v>
      </c>
      <c r="F1533" s="2487">
        <f>SUM(F1534:F1535)</f>
        <v>0</v>
      </c>
      <c r="G1533" s="2487">
        <f>SUM(G1534:G1535)</f>
        <v>0</v>
      </c>
      <c r="H1533" s="2487">
        <f>SUM(H1534:H1535)</f>
        <v>0</v>
      </c>
      <c r="I1533" s="2487">
        <f>SUM(I1534:I1535)</f>
        <v>0</v>
      </c>
      <c r="J1533" s="2488">
        <f>SUM(J1534:J1535)</f>
        <v>0</v>
      </c>
    </row>
    <row r="1534" spans="1:11" s="2295" customFormat="1" ht="15" hidden="1" customHeight="1">
      <c r="A1534" s="3112"/>
      <c r="B1534" s="3113"/>
      <c r="C1534" s="3114"/>
      <c r="D1534" s="3134"/>
      <c r="E1534" s="2489" t="s">
        <v>655</v>
      </c>
      <c r="F1534" s="2490">
        <f>SUM(G1534:J1534)</f>
        <v>0</v>
      </c>
      <c r="G1534" s="2490"/>
      <c r="H1534" s="2509">
        <f>33150-33150</f>
        <v>0</v>
      </c>
      <c r="I1534" s="2509"/>
      <c r="J1534" s="2510"/>
      <c r="K1534" s="37"/>
    </row>
    <row r="1535" spans="1:11" s="2295" customFormat="1" ht="15" hidden="1" customHeight="1">
      <c r="A1535" s="3139"/>
      <c r="B1535" s="3148"/>
      <c r="C1535" s="3115"/>
      <c r="D1535" s="3117"/>
      <c r="E1535" s="2555">
        <v>6069</v>
      </c>
      <c r="F1535" s="2556">
        <f>SUM(G1535:J1535)</f>
        <v>0</v>
      </c>
      <c r="G1535" s="2556">
        <f>3900-3900</f>
        <v>0</v>
      </c>
      <c r="H1535" s="2552"/>
      <c r="I1535" s="2552">
        <f>1950-1950</f>
        <v>0</v>
      </c>
      <c r="J1535" s="2553"/>
      <c r="K1535" s="37"/>
    </row>
    <row r="1536" spans="1:11" s="2295" customFormat="1" ht="23.25" hidden="1" thickBot="1">
      <c r="A1536" s="3151" t="s">
        <v>1088</v>
      </c>
      <c r="B1536" s="3152" t="s">
        <v>1220</v>
      </c>
      <c r="C1536" s="3153">
        <v>801</v>
      </c>
      <c r="D1536" s="3154" t="s">
        <v>850</v>
      </c>
      <c r="E1536" s="2512" t="s">
        <v>1086</v>
      </c>
      <c r="F1536" s="2513">
        <f>SUM(F1537,F1544)</f>
        <v>0</v>
      </c>
      <c r="G1536" s="2513">
        <f>SUM(G1537,G1544)</f>
        <v>0</v>
      </c>
      <c r="H1536" s="2513">
        <f>SUM(H1537,H1544)</f>
        <v>0</v>
      </c>
      <c r="I1536" s="2513">
        <f>SUM(I1537,I1544)</f>
        <v>0</v>
      </c>
      <c r="J1536" s="2514">
        <f>SUM(J1537,J1544)</f>
        <v>0</v>
      </c>
      <c r="K1536" s="37"/>
    </row>
    <row r="1537" spans="1:11" s="2295" customFormat="1" ht="21.75" hidden="1" thickBot="1">
      <c r="A1537" s="3151"/>
      <c r="B1537" s="3152"/>
      <c r="C1537" s="3153"/>
      <c r="D1537" s="3154"/>
      <c r="E1537" s="2515" t="s">
        <v>1092</v>
      </c>
      <c r="F1537" s="2516">
        <f>SUM(F1538,F1540)</f>
        <v>0</v>
      </c>
      <c r="G1537" s="2516">
        <f>SUM(G1538,G1540)</f>
        <v>0</v>
      </c>
      <c r="H1537" s="2516">
        <f>SUM(H1538,H1540)</f>
        <v>0</v>
      </c>
      <c r="I1537" s="2516">
        <f>SUM(I1538,I1540)</f>
        <v>0</v>
      </c>
      <c r="J1537" s="2517">
        <f>SUM(J1538,J1540)</f>
        <v>0</v>
      </c>
      <c r="K1537" s="37"/>
    </row>
    <row r="1538" spans="1:11" s="2295" customFormat="1" ht="15" hidden="1" customHeight="1">
      <c r="A1538" s="3151"/>
      <c r="B1538" s="3152"/>
      <c r="C1538" s="3153"/>
      <c r="D1538" s="3154"/>
      <c r="E1538" s="2518" t="s">
        <v>1109</v>
      </c>
      <c r="F1538" s="2519">
        <f>SUM(F1539:F1539)</f>
        <v>0</v>
      </c>
      <c r="G1538" s="2519">
        <f>SUM(G1539:G1539)</f>
        <v>0</v>
      </c>
      <c r="H1538" s="2519">
        <f>SUM(H1539:H1539)</f>
        <v>0</v>
      </c>
      <c r="I1538" s="2519">
        <f>SUM(I1539:I1539)</f>
        <v>0</v>
      </c>
      <c r="J1538" s="2520">
        <f>SUM(J1539:J1539)</f>
        <v>0</v>
      </c>
      <c r="K1538" s="37"/>
    </row>
    <row r="1539" spans="1:11" s="2485" customFormat="1" ht="15" hidden="1" customHeight="1">
      <c r="A1539" s="3151"/>
      <c r="B1539" s="3152"/>
      <c r="C1539" s="3153"/>
      <c r="D1539" s="3154"/>
      <c r="E1539" s="2546"/>
      <c r="F1539" s="2509">
        <f t="shared" ref="F1539" si="148">SUM(G1539:J1539)</f>
        <v>0</v>
      </c>
      <c r="G1539" s="2509"/>
      <c r="H1539" s="2509"/>
      <c r="I1539" s="2509"/>
      <c r="J1539" s="2510"/>
      <c r="K1539" s="2523"/>
    </row>
    <row r="1540" spans="1:11" s="2295" customFormat="1" ht="23.25" hidden="1" thickBot="1">
      <c r="A1540" s="3151"/>
      <c r="B1540" s="3152"/>
      <c r="C1540" s="3153"/>
      <c r="D1540" s="3154"/>
      <c r="E1540" s="2518" t="s">
        <v>1094</v>
      </c>
      <c r="F1540" s="2519">
        <f>SUM(F1541:F1543)</f>
        <v>0</v>
      </c>
      <c r="G1540" s="2519">
        <f>SUM(G1541:G1543)</f>
        <v>0</v>
      </c>
      <c r="H1540" s="2519">
        <f>SUM(H1541:H1543)</f>
        <v>0</v>
      </c>
      <c r="I1540" s="2519">
        <f>SUM(I1541:I1543)</f>
        <v>0</v>
      </c>
      <c r="J1540" s="2520">
        <f>SUM(J1541:J1543)</f>
        <v>0</v>
      </c>
      <c r="K1540" s="37"/>
    </row>
    <row r="1541" spans="1:11" s="2295" customFormat="1" ht="15" hidden="1" customHeight="1">
      <c r="A1541" s="3151"/>
      <c r="B1541" s="3152"/>
      <c r="C1541" s="3153"/>
      <c r="D1541" s="3154"/>
      <c r="E1541" s="2508"/>
      <c r="F1541" s="2509">
        <f t="shared" ref="F1541:F1543" si="149">SUM(G1541:J1541)</f>
        <v>0</v>
      </c>
      <c r="G1541" s="2509"/>
      <c r="H1541" s="2509"/>
      <c r="I1541" s="2509"/>
      <c r="J1541" s="2510"/>
      <c r="K1541" s="37"/>
    </row>
    <row r="1542" spans="1:11" s="2295" customFormat="1" ht="15" hidden="1" customHeight="1">
      <c r="A1542" s="3151"/>
      <c r="B1542" s="3152"/>
      <c r="C1542" s="3153"/>
      <c r="D1542" s="3154"/>
      <c r="E1542" s="2508"/>
      <c r="F1542" s="2509">
        <f t="shared" si="149"/>
        <v>0</v>
      </c>
      <c r="G1542" s="2509"/>
      <c r="H1542" s="2509"/>
      <c r="I1542" s="2509"/>
      <c r="J1542" s="2510"/>
      <c r="K1542" s="37"/>
    </row>
    <row r="1543" spans="1:11" s="2295" customFormat="1" ht="15" hidden="1" customHeight="1">
      <c r="A1543" s="3151"/>
      <c r="B1543" s="3152"/>
      <c r="C1543" s="3153"/>
      <c r="D1543" s="3154"/>
      <c r="E1543" s="2508"/>
      <c r="F1543" s="2509">
        <f t="shared" si="149"/>
        <v>0</v>
      </c>
      <c r="G1543" s="2509"/>
      <c r="H1543" s="2509"/>
      <c r="I1543" s="2509"/>
      <c r="J1543" s="2510"/>
      <c r="K1543" s="37"/>
    </row>
    <row r="1544" spans="1:11" s="2295" customFormat="1" ht="15" hidden="1" customHeight="1">
      <c r="A1544" s="3151"/>
      <c r="B1544" s="3152"/>
      <c r="C1544" s="3153"/>
      <c r="D1544" s="3154"/>
      <c r="E1544" s="2521" t="s">
        <v>1087</v>
      </c>
      <c r="F1544" s="2516">
        <f>SUM(F1545:F1546)</f>
        <v>0</v>
      </c>
      <c r="G1544" s="2516">
        <f>SUM(G1545:G1546)</f>
        <v>0</v>
      </c>
      <c r="H1544" s="2516">
        <f>SUM(H1545:H1546)</f>
        <v>0</v>
      </c>
      <c r="I1544" s="2516">
        <f>SUM(I1545:I1546)</f>
        <v>0</v>
      </c>
      <c r="J1544" s="2517">
        <f>SUM(J1545:J1546)</f>
        <v>0</v>
      </c>
      <c r="K1544" s="37"/>
    </row>
    <row r="1545" spans="1:11" s="2295" customFormat="1" ht="15" hidden="1" customHeight="1">
      <c r="A1545" s="3151"/>
      <c r="B1545" s="3152"/>
      <c r="C1545" s="3153"/>
      <c r="D1545" s="3154"/>
      <c r="E1545" s="2508"/>
      <c r="F1545" s="2509">
        <f>SUM(G1545:J1545)</f>
        <v>0</v>
      </c>
      <c r="G1545" s="2509"/>
      <c r="H1545" s="2509">
        <f>33150-33150</f>
        <v>0</v>
      </c>
      <c r="I1545" s="2509"/>
      <c r="J1545" s="2510"/>
      <c r="K1545" s="37"/>
    </row>
    <row r="1546" spans="1:11" s="2295" customFormat="1" ht="15" hidden="1" customHeight="1" thickBot="1">
      <c r="A1546" s="3155"/>
      <c r="B1546" s="3158"/>
      <c r="C1546" s="3178"/>
      <c r="D1546" s="3161"/>
      <c r="E1546" s="2551"/>
      <c r="F1546" s="2552">
        <f>SUM(G1546:J1546)</f>
        <v>0</v>
      </c>
      <c r="G1546" s="2552">
        <f>3900-3900</f>
        <v>0</v>
      </c>
      <c r="H1546" s="2552"/>
      <c r="I1546" s="2552">
        <f>1950-1950</f>
        <v>0</v>
      </c>
      <c r="J1546" s="2553"/>
      <c r="K1546" s="37"/>
    </row>
    <row r="1547" spans="1:11" s="37" customFormat="1" ht="19.5" customHeight="1" thickBot="1">
      <c r="A1547" s="3174" t="s">
        <v>1221</v>
      </c>
      <c r="B1547" s="3175"/>
      <c r="C1547" s="3175"/>
      <c r="D1547" s="3175"/>
      <c r="E1547" s="3175"/>
      <c r="F1547" s="2557">
        <f>F8+F708+F1115+F1127+F1142+F1272+F1410+F1425+F1513</f>
        <v>669212354</v>
      </c>
      <c r="G1547" s="2557">
        <f>G8+G708+G1115+G1127+G1142+G1272+G1410+G1425+G1513</f>
        <v>126077603</v>
      </c>
      <c r="H1547" s="2557">
        <f>H8+H708+H1115+H1127+H1142+H1272+H1410+H1425+H1513</f>
        <v>413331547</v>
      </c>
      <c r="I1547" s="2557">
        <f>I8+I708+I1115+I1127+I1142+I1272+I1410+I1425+I1513</f>
        <v>119127627</v>
      </c>
      <c r="J1547" s="2558">
        <f>J8+J708+J1115+J1127+J1142+J1272+J1410+J1425+J1513</f>
        <v>10675577</v>
      </c>
      <c r="K1547" s="2269"/>
    </row>
    <row r="1548" spans="1:11">
      <c r="A1548" s="3176"/>
      <c r="B1548" s="3176"/>
      <c r="C1548" s="3176"/>
      <c r="D1548" s="3176"/>
      <c r="E1548" s="3176"/>
      <c r="F1548" s="3176"/>
      <c r="G1548" s="3176"/>
      <c r="H1548" s="3176"/>
      <c r="I1548" s="3176"/>
      <c r="J1548" s="3176"/>
    </row>
    <row r="1549" spans="1:11">
      <c r="I1549" s="2"/>
    </row>
    <row r="1551" spans="1:11" ht="15" customHeight="1">
      <c r="D1551" s="3177"/>
      <c r="E1551" s="3177"/>
    </row>
    <row r="1552" spans="1:11">
      <c r="E1552" s="2559"/>
      <c r="F1552" s="2"/>
      <c r="G1552" s="2"/>
      <c r="H1552" s="2"/>
      <c r="I1552" s="2"/>
      <c r="J1552" s="2"/>
    </row>
    <row r="1553" spans="5:10">
      <c r="E1553" s="2560"/>
      <c r="F1553" s="2"/>
      <c r="G1553" s="2"/>
      <c r="H1553" s="2"/>
      <c r="I1553" s="2"/>
      <c r="J1553" s="2"/>
    </row>
    <row r="1554" spans="5:10">
      <c r="E1554" s="2561"/>
      <c r="F1554" s="2"/>
      <c r="G1554" s="2"/>
      <c r="H1554" s="2"/>
      <c r="I1554" s="2"/>
      <c r="J1554" s="2"/>
    </row>
    <row r="1555" spans="5:10">
      <c r="E1555" s="2560"/>
      <c r="F1555" s="2"/>
      <c r="G1555" s="2"/>
      <c r="H1555" s="2"/>
      <c r="I1555" s="2"/>
      <c r="J1555" s="2"/>
    </row>
    <row r="1556" spans="5:10">
      <c r="E1556" s="2562"/>
      <c r="F1556" s="2"/>
      <c r="G1556" s="2"/>
      <c r="H1556" s="2"/>
      <c r="I1556" s="2"/>
      <c r="J1556" s="2"/>
    </row>
    <row r="1557" spans="5:10">
      <c r="E1557" s="51"/>
      <c r="F1557" s="2"/>
      <c r="G1557" s="2"/>
      <c r="H1557" s="2"/>
      <c r="I1557" s="2"/>
      <c r="J1557" s="2"/>
    </row>
    <row r="1558" spans="5:10">
      <c r="E1558" s="51"/>
      <c r="F1558" s="2"/>
      <c r="G1558" s="2"/>
      <c r="H1558" s="2"/>
      <c r="I1558" s="2"/>
      <c r="J1558" s="2"/>
    </row>
    <row r="1559" spans="5:10">
      <c r="E1559" s="2563"/>
      <c r="F1559" s="2"/>
      <c r="G1559" s="2"/>
      <c r="H1559" s="2"/>
      <c r="I1559" s="2"/>
      <c r="J1559" s="2"/>
    </row>
    <row r="1560" spans="5:10">
      <c r="E1560" s="2562"/>
      <c r="F1560" s="2"/>
      <c r="G1560" s="2"/>
      <c r="H1560" s="2"/>
      <c r="I1560" s="2"/>
      <c r="J1560" s="2"/>
    </row>
    <row r="1561" spans="5:10">
      <c r="E1561" s="2564"/>
      <c r="F1561" s="2"/>
      <c r="G1561" s="2"/>
      <c r="H1561" s="2"/>
      <c r="I1561" s="2"/>
      <c r="J1561" s="2"/>
    </row>
    <row r="1562" spans="5:10">
      <c r="E1562" s="2565"/>
      <c r="F1562" s="2"/>
      <c r="G1562" s="2"/>
      <c r="H1562" s="2"/>
      <c r="I1562" s="2"/>
      <c r="J1562" s="2"/>
    </row>
    <row r="1563" spans="5:10">
      <c r="E1563" s="2564"/>
      <c r="F1563" s="2"/>
      <c r="G1563" s="2"/>
      <c r="H1563" s="2"/>
      <c r="I1563" s="2"/>
      <c r="J1563" s="2"/>
    </row>
    <row r="1564" spans="5:10">
      <c r="E1564" s="2564"/>
      <c r="F1564" s="2"/>
      <c r="G1564" s="2"/>
      <c r="H1564" s="2"/>
      <c r="I1564" s="2"/>
      <c r="J1564" s="2"/>
    </row>
    <row r="1565" spans="5:10">
      <c r="E1565" s="2563"/>
      <c r="F1565" s="2"/>
      <c r="G1565" s="2"/>
      <c r="H1565" s="2"/>
      <c r="I1565" s="2"/>
      <c r="J1565" s="2"/>
    </row>
    <row r="1566" spans="5:10">
      <c r="E1566" s="2562"/>
      <c r="F1566" s="2"/>
      <c r="G1566" s="2"/>
      <c r="H1566" s="2"/>
      <c r="I1566" s="2"/>
      <c r="J1566" s="2"/>
    </row>
    <row r="1567" spans="5:10">
      <c r="E1567" s="2565"/>
      <c r="F1567" s="2566"/>
      <c r="G1567" s="2566"/>
      <c r="H1567" s="2566"/>
      <c r="I1567" s="2566"/>
      <c r="J1567" s="2566"/>
    </row>
    <row r="1568" spans="5:10">
      <c r="F1568" s="2"/>
      <c r="G1568" s="2"/>
      <c r="H1568" s="2"/>
      <c r="I1568" s="2"/>
      <c r="J1568" s="2"/>
    </row>
    <row r="1569" spans="6:6">
      <c r="F1569" s="2"/>
    </row>
    <row r="1570" spans="6:6">
      <c r="F1570" s="2"/>
    </row>
    <row r="1571" spans="6:6">
      <c r="F1571" s="2"/>
    </row>
  </sheetData>
  <mergeCells count="363">
    <mergeCell ref="A1547:E1547"/>
    <mergeCell ref="A1548:J1548"/>
    <mergeCell ref="D1551:E1551"/>
    <mergeCell ref="A1515:A1535"/>
    <mergeCell ref="B1515:B1535"/>
    <mergeCell ref="C1515:C1535"/>
    <mergeCell ref="D1515:D1535"/>
    <mergeCell ref="A1536:A1546"/>
    <mergeCell ref="B1536:B1546"/>
    <mergeCell ref="C1536:C1546"/>
    <mergeCell ref="D1536:D1546"/>
    <mergeCell ref="A1483:A1510"/>
    <mergeCell ref="B1483:B1510"/>
    <mergeCell ref="C1483:C1510"/>
    <mergeCell ref="D1483:D1510"/>
    <mergeCell ref="B1513:E1513"/>
    <mergeCell ref="A1514:J1514"/>
    <mergeCell ref="A1427:A1452"/>
    <mergeCell ref="B1427:B1452"/>
    <mergeCell ref="C1427:C1452"/>
    <mergeCell ref="D1427:D1452"/>
    <mergeCell ref="A1455:A1480"/>
    <mergeCell ref="B1455:B1480"/>
    <mergeCell ref="C1455:C1480"/>
    <mergeCell ref="D1455:D1480"/>
    <mergeCell ref="A1412:A1422"/>
    <mergeCell ref="B1412:B1422"/>
    <mergeCell ref="C1412:C1422"/>
    <mergeCell ref="D1412:D1422"/>
    <mergeCell ref="B1425:E1425"/>
    <mergeCell ref="A1426:J1426"/>
    <mergeCell ref="A1383:A1409"/>
    <mergeCell ref="B1383:B1409"/>
    <mergeCell ref="C1383:C1409"/>
    <mergeCell ref="D1383:D1409"/>
    <mergeCell ref="B1410:E1410"/>
    <mergeCell ref="A1411:J1411"/>
    <mergeCell ref="A1316:A1336"/>
    <mergeCell ref="B1316:B1336"/>
    <mergeCell ref="C1316:C1336"/>
    <mergeCell ref="D1316:D1336"/>
    <mergeCell ref="A1339:A1380"/>
    <mergeCell ref="B1339:B1380"/>
    <mergeCell ref="C1339:C1380"/>
    <mergeCell ref="D1339:D1380"/>
    <mergeCell ref="A1274:A1293"/>
    <mergeCell ref="B1274:B1293"/>
    <mergeCell ref="C1274:C1293"/>
    <mergeCell ref="D1274:D1293"/>
    <mergeCell ref="A1296:A1315"/>
    <mergeCell ref="B1296:B1315"/>
    <mergeCell ref="C1296:C1315"/>
    <mergeCell ref="D1296:D1315"/>
    <mergeCell ref="A1226:A1271"/>
    <mergeCell ref="B1226:B1271"/>
    <mergeCell ref="C1226:C1271"/>
    <mergeCell ref="D1226:D1271"/>
    <mergeCell ref="B1272:E1272"/>
    <mergeCell ref="A1273:J1273"/>
    <mergeCell ref="C1176:C1177"/>
    <mergeCell ref="D1176:D1177"/>
    <mergeCell ref="A1178:A1223"/>
    <mergeCell ref="B1178:B1223"/>
    <mergeCell ref="C1178:C1223"/>
    <mergeCell ref="D1178:D1223"/>
    <mergeCell ref="D1166:D1169"/>
    <mergeCell ref="C1170:D1170"/>
    <mergeCell ref="C1171:C1173"/>
    <mergeCell ref="D1171:D1173"/>
    <mergeCell ref="C1174:C1175"/>
    <mergeCell ref="D1174:D1175"/>
    <mergeCell ref="A1152:A1175"/>
    <mergeCell ref="B1152:B1175"/>
    <mergeCell ref="C1152:D1153"/>
    <mergeCell ref="C1154:C1157"/>
    <mergeCell ref="D1154:D1157"/>
    <mergeCell ref="C1158:C1161"/>
    <mergeCell ref="D1158:D1161"/>
    <mergeCell ref="C1162:C1165"/>
    <mergeCell ref="D1162:D1165"/>
    <mergeCell ref="C1166:C1169"/>
    <mergeCell ref="B1142:E1142"/>
    <mergeCell ref="A1143:J1143"/>
    <mergeCell ref="A1144:A1151"/>
    <mergeCell ref="B1144:B1151"/>
    <mergeCell ref="C1144:D1145"/>
    <mergeCell ref="C1146:C1148"/>
    <mergeCell ref="D1146:D1148"/>
    <mergeCell ref="C1149:D1149"/>
    <mergeCell ref="B1127:E1127"/>
    <mergeCell ref="A1128:J1128"/>
    <mergeCell ref="A1129:A1141"/>
    <mergeCell ref="B1129:B1141"/>
    <mergeCell ref="C1129:C1137"/>
    <mergeCell ref="D1129:D1137"/>
    <mergeCell ref="C1138:C1141"/>
    <mergeCell ref="D1138:D1141"/>
    <mergeCell ref="B1115:E1115"/>
    <mergeCell ref="A1116:J1116"/>
    <mergeCell ref="A1117:A1125"/>
    <mergeCell ref="B1117:B1125"/>
    <mergeCell ref="C1117:C1125"/>
    <mergeCell ref="D1117:D1125"/>
    <mergeCell ref="A1085:A1099"/>
    <mergeCell ref="B1085:B1099"/>
    <mergeCell ref="C1085:C1099"/>
    <mergeCell ref="D1085:D1099"/>
    <mergeCell ref="A1100:A1114"/>
    <mergeCell ref="B1100:B1114"/>
    <mergeCell ref="C1100:C1114"/>
    <mergeCell ref="D1100:D1114"/>
    <mergeCell ref="A1055:A1069"/>
    <mergeCell ref="B1055:B1069"/>
    <mergeCell ref="C1055:C1069"/>
    <mergeCell ref="D1055:D1069"/>
    <mergeCell ref="A1070:A1081"/>
    <mergeCell ref="B1070:B1081"/>
    <mergeCell ref="C1070:C1081"/>
    <mergeCell ref="D1070:D1081"/>
    <mergeCell ref="A1025:A1039"/>
    <mergeCell ref="B1025:B1039"/>
    <mergeCell ref="C1025:C1039"/>
    <mergeCell ref="D1025:D1039"/>
    <mergeCell ref="A1040:A1051"/>
    <mergeCell ref="B1040:B1051"/>
    <mergeCell ref="C1040:C1051"/>
    <mergeCell ref="D1040:D1051"/>
    <mergeCell ref="A995:A1009"/>
    <mergeCell ref="B995:B1009"/>
    <mergeCell ref="C995:C1009"/>
    <mergeCell ref="D995:D1009"/>
    <mergeCell ref="A1010:A1024"/>
    <mergeCell ref="B1010:B1024"/>
    <mergeCell ref="C1010:C1024"/>
    <mergeCell ref="D1010:D1024"/>
    <mergeCell ref="A965:A979"/>
    <mergeCell ref="B965:B979"/>
    <mergeCell ref="C965:C979"/>
    <mergeCell ref="D965:D979"/>
    <mergeCell ref="A980:A994"/>
    <mergeCell ref="B980:B994"/>
    <mergeCell ref="C980:C994"/>
    <mergeCell ref="D980:D994"/>
    <mergeCell ref="A935:A949"/>
    <mergeCell ref="B935:B949"/>
    <mergeCell ref="C935:C949"/>
    <mergeCell ref="D935:D949"/>
    <mergeCell ref="A950:A964"/>
    <mergeCell ref="B950:B964"/>
    <mergeCell ref="C950:C964"/>
    <mergeCell ref="D950:D964"/>
    <mergeCell ref="A905:A919"/>
    <mergeCell ref="B905:B919"/>
    <mergeCell ref="C905:C919"/>
    <mergeCell ref="D905:D919"/>
    <mergeCell ref="A920:A934"/>
    <mergeCell ref="B920:B934"/>
    <mergeCell ref="C920:C934"/>
    <mergeCell ref="D920:D934"/>
    <mergeCell ref="A875:A889"/>
    <mergeCell ref="B875:B889"/>
    <mergeCell ref="C875:C889"/>
    <mergeCell ref="D875:D889"/>
    <mergeCell ref="A890:A904"/>
    <mergeCell ref="B890:B904"/>
    <mergeCell ref="C890:C904"/>
    <mergeCell ref="D890:D904"/>
    <mergeCell ref="A845:A859"/>
    <mergeCell ref="B845:B859"/>
    <mergeCell ref="C845:C859"/>
    <mergeCell ref="D845:D859"/>
    <mergeCell ref="A860:A874"/>
    <mergeCell ref="B860:B874"/>
    <mergeCell ref="C860:C874"/>
    <mergeCell ref="D860:D874"/>
    <mergeCell ref="A815:A827"/>
    <mergeCell ref="B815:B827"/>
    <mergeCell ref="C815:C827"/>
    <mergeCell ref="D815:D827"/>
    <mergeCell ref="A830:A844"/>
    <mergeCell ref="B830:B844"/>
    <mergeCell ref="C830:C844"/>
    <mergeCell ref="D830:D844"/>
    <mergeCell ref="A785:A799"/>
    <mergeCell ref="B785:B799"/>
    <mergeCell ref="C785:C799"/>
    <mergeCell ref="D785:D799"/>
    <mergeCell ref="A800:A814"/>
    <mergeCell ref="B800:B814"/>
    <mergeCell ref="C800:C814"/>
    <mergeCell ref="D800:D814"/>
    <mergeCell ref="A755:A769"/>
    <mergeCell ref="B755:B769"/>
    <mergeCell ref="C755:C769"/>
    <mergeCell ref="D755:D769"/>
    <mergeCell ref="A770:A784"/>
    <mergeCell ref="B770:B784"/>
    <mergeCell ref="C770:C784"/>
    <mergeCell ref="D770:D784"/>
    <mergeCell ref="A725:A739"/>
    <mergeCell ref="B725:B739"/>
    <mergeCell ref="C725:C739"/>
    <mergeCell ref="D725:D739"/>
    <mergeCell ref="A740:A754"/>
    <mergeCell ref="B740:B754"/>
    <mergeCell ref="C740:C754"/>
    <mergeCell ref="D740:D754"/>
    <mergeCell ref="B708:E708"/>
    <mergeCell ref="A709:J709"/>
    <mergeCell ref="A710:A724"/>
    <mergeCell ref="B710:B724"/>
    <mergeCell ref="C710:C724"/>
    <mergeCell ref="D710:D724"/>
    <mergeCell ref="A647:A681"/>
    <mergeCell ref="B647:B681"/>
    <mergeCell ref="C647:C681"/>
    <mergeCell ref="D647:D681"/>
    <mergeCell ref="A684:A707"/>
    <mergeCell ref="B684:B707"/>
    <mergeCell ref="C684:C707"/>
    <mergeCell ref="D684:D707"/>
    <mergeCell ref="A604:A625"/>
    <mergeCell ref="B604:B625"/>
    <mergeCell ref="C604:C625"/>
    <mergeCell ref="D604:D625"/>
    <mergeCell ref="A626:A644"/>
    <mergeCell ref="B626:B644"/>
    <mergeCell ref="C626:C644"/>
    <mergeCell ref="D626:D644"/>
    <mergeCell ref="A557:A579"/>
    <mergeCell ref="B557:B579"/>
    <mergeCell ref="C557:C579"/>
    <mergeCell ref="D557:D579"/>
    <mergeCell ref="A580:A602"/>
    <mergeCell ref="B580:B602"/>
    <mergeCell ref="C580:C602"/>
    <mergeCell ref="D580:D602"/>
    <mergeCell ref="A509:A531"/>
    <mergeCell ref="B509:B531"/>
    <mergeCell ref="C509:C531"/>
    <mergeCell ref="D509:D531"/>
    <mergeCell ref="A534:A554"/>
    <mergeCell ref="B534:B554"/>
    <mergeCell ref="C534:C554"/>
    <mergeCell ref="D534:D554"/>
    <mergeCell ref="A461:A481"/>
    <mergeCell ref="B461:B481"/>
    <mergeCell ref="C461:C481"/>
    <mergeCell ref="D461:D481"/>
    <mergeCell ref="A484:A506"/>
    <mergeCell ref="B484:B506"/>
    <mergeCell ref="C484:C506"/>
    <mergeCell ref="D484:D506"/>
    <mergeCell ref="A408:A441"/>
    <mergeCell ref="B408:B441"/>
    <mergeCell ref="C408:C441"/>
    <mergeCell ref="D408:D441"/>
    <mergeCell ref="A444:A460"/>
    <mergeCell ref="B444:B460"/>
    <mergeCell ref="C444:C460"/>
    <mergeCell ref="D444:D460"/>
    <mergeCell ref="A359:A369"/>
    <mergeCell ref="B359:B369"/>
    <mergeCell ref="C359:C369"/>
    <mergeCell ref="D359:D369"/>
    <mergeCell ref="A370:A405"/>
    <mergeCell ref="B370:B405"/>
    <mergeCell ref="C370:C405"/>
    <mergeCell ref="D370:D405"/>
    <mergeCell ref="A325:A345"/>
    <mergeCell ref="B325:B345"/>
    <mergeCell ref="C325:C345"/>
    <mergeCell ref="D325:D345"/>
    <mergeCell ref="A348:A358"/>
    <mergeCell ref="B348:B358"/>
    <mergeCell ref="C348:C358"/>
    <mergeCell ref="D348:D358"/>
    <mergeCell ref="A279:A299"/>
    <mergeCell ref="B279:B299"/>
    <mergeCell ref="C279:C299"/>
    <mergeCell ref="D279:D299"/>
    <mergeCell ref="A302:A322"/>
    <mergeCell ref="B302:B322"/>
    <mergeCell ref="C302:C322"/>
    <mergeCell ref="D302:D322"/>
    <mergeCell ref="A237:A255"/>
    <mergeCell ref="B237:B255"/>
    <mergeCell ref="C237:C255"/>
    <mergeCell ref="D237:D255"/>
    <mergeCell ref="A256:A276"/>
    <mergeCell ref="B256:B276"/>
    <mergeCell ref="C256:C276"/>
    <mergeCell ref="D256:D276"/>
    <mergeCell ref="A203:A222"/>
    <mergeCell ref="B203:B222"/>
    <mergeCell ref="C203:C222"/>
    <mergeCell ref="D203:D222"/>
    <mergeCell ref="A223:A236"/>
    <mergeCell ref="B223:B236"/>
    <mergeCell ref="C223:C236"/>
    <mergeCell ref="D223:D236"/>
    <mergeCell ref="A190:A202"/>
    <mergeCell ref="B190:B202"/>
    <mergeCell ref="C190:C196"/>
    <mergeCell ref="D190:D196"/>
    <mergeCell ref="C198:C202"/>
    <mergeCell ref="D198:D202"/>
    <mergeCell ref="A157:A172"/>
    <mergeCell ref="B157:B172"/>
    <mergeCell ref="C157:C172"/>
    <mergeCell ref="D157:D172"/>
    <mergeCell ref="A176:A189"/>
    <mergeCell ref="B176:B189"/>
    <mergeCell ref="C176:C189"/>
    <mergeCell ref="D176:D189"/>
    <mergeCell ref="A131:A143"/>
    <mergeCell ref="B131:B143"/>
    <mergeCell ref="C131:C143"/>
    <mergeCell ref="D131:D143"/>
    <mergeCell ref="A144:A156"/>
    <mergeCell ref="B144:B156"/>
    <mergeCell ref="C144:C156"/>
    <mergeCell ref="D144:D156"/>
    <mergeCell ref="A78:A92"/>
    <mergeCell ref="B78:B92"/>
    <mergeCell ref="C78:C92"/>
    <mergeCell ref="D78:D92"/>
    <mergeCell ref="A94:A130"/>
    <mergeCell ref="B94:B130"/>
    <mergeCell ref="C94:C130"/>
    <mergeCell ref="D94:D130"/>
    <mergeCell ref="A47:A58"/>
    <mergeCell ref="B47:B58"/>
    <mergeCell ref="C47:C58"/>
    <mergeCell ref="D47:D58"/>
    <mergeCell ref="A60:A77"/>
    <mergeCell ref="B60:B77"/>
    <mergeCell ref="C60:C77"/>
    <mergeCell ref="D60:D77"/>
    <mergeCell ref="A18:A25"/>
    <mergeCell ref="B18:B25"/>
    <mergeCell ref="C18:D19"/>
    <mergeCell ref="A26:A44"/>
    <mergeCell ref="B26:B44"/>
    <mergeCell ref="C26:C44"/>
    <mergeCell ref="D26:D44"/>
    <mergeCell ref="B8:E8"/>
    <mergeCell ref="A9:J9"/>
    <mergeCell ref="A10:A17"/>
    <mergeCell ref="B10:B17"/>
    <mergeCell ref="C10:D15"/>
    <mergeCell ref="C16:C17"/>
    <mergeCell ref="D16:D17"/>
    <mergeCell ref="H1:J1"/>
    <mergeCell ref="A2:J2"/>
    <mergeCell ref="A4:J4"/>
    <mergeCell ref="A5:A6"/>
    <mergeCell ref="B5:B6"/>
    <mergeCell ref="C5:C6"/>
    <mergeCell ref="D5:D6"/>
    <mergeCell ref="E5:E6"/>
    <mergeCell ref="F5:F6"/>
    <mergeCell ref="G5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Strona &amp;P z &amp;N</oddFooter>
  </headerFooter>
  <rowBreaks count="16" manualBreakCount="16">
    <brk id="93" max="9" man="1"/>
    <brk id="130" max="9" man="1"/>
    <brk id="236" max="9" man="1"/>
    <brk id="369" max="9" man="1"/>
    <brk id="407" max="9" man="1"/>
    <brk id="460" max="9" man="1"/>
    <brk id="508" max="9" man="1"/>
    <brk id="646" max="9" man="1"/>
    <brk id="681" max="9" man="1"/>
    <brk id="827" max="9" man="1"/>
    <brk id="904" max="9" man="1"/>
    <brk id="964" max="9" man="1"/>
    <brk id="1126" max="9" man="1"/>
    <brk id="1177" max="9" man="1"/>
    <brk id="1338" max="9" man="1"/>
    <brk id="1424" max="9" man="1"/>
  </rowBreaks>
  <colBreaks count="1" manualBreakCount="1">
    <brk id="10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J62"/>
  <sheetViews>
    <sheetView view="pageBreakPreview" zoomScaleNormal="100" zoomScaleSheetLayoutView="100" workbookViewId="0">
      <selection activeCell="J4" sqref="J4"/>
    </sheetView>
  </sheetViews>
  <sheetFormatPr defaultRowHeight="12.75"/>
  <cols>
    <col min="1" max="1" width="5.140625" style="1" customWidth="1"/>
    <col min="2" max="2" width="51.5703125" style="1" customWidth="1"/>
    <col min="3" max="3" width="7.140625" style="1" customWidth="1"/>
    <col min="4" max="4" width="10.140625" style="1" customWidth="1"/>
    <col min="5" max="5" width="11.28515625" style="1" customWidth="1"/>
    <col min="6" max="6" width="13.7109375" style="1" customWidth="1"/>
    <col min="7" max="7" width="10.140625" style="1" bestFit="1" customWidth="1"/>
    <col min="8" max="8" width="11.140625" style="1" bestFit="1" customWidth="1"/>
    <col min="9" max="9" width="10.140625" style="1" bestFit="1" customWidth="1"/>
    <col min="10" max="256" width="9.140625" style="1"/>
    <col min="257" max="257" width="5.140625" style="1" customWidth="1"/>
    <col min="258" max="258" width="46.85546875" style="1" customWidth="1"/>
    <col min="259" max="259" width="7.140625" style="1" customWidth="1"/>
    <col min="260" max="260" width="10.140625" style="1" customWidth="1"/>
    <col min="261" max="261" width="11.28515625" style="1" customWidth="1"/>
    <col min="262" max="262" width="13.7109375" style="1" customWidth="1"/>
    <col min="263" max="512" width="9.140625" style="1"/>
    <col min="513" max="513" width="5.140625" style="1" customWidth="1"/>
    <col min="514" max="514" width="46.85546875" style="1" customWidth="1"/>
    <col min="515" max="515" width="7.140625" style="1" customWidth="1"/>
    <col min="516" max="516" width="10.140625" style="1" customWidth="1"/>
    <col min="517" max="517" width="11.28515625" style="1" customWidth="1"/>
    <col min="518" max="518" width="13.7109375" style="1" customWidth="1"/>
    <col min="519" max="768" width="9.140625" style="1"/>
    <col min="769" max="769" width="5.140625" style="1" customWidth="1"/>
    <col min="770" max="770" width="46.85546875" style="1" customWidth="1"/>
    <col min="771" max="771" width="7.140625" style="1" customWidth="1"/>
    <col min="772" max="772" width="10.140625" style="1" customWidth="1"/>
    <col min="773" max="773" width="11.28515625" style="1" customWidth="1"/>
    <col min="774" max="774" width="13.7109375" style="1" customWidth="1"/>
    <col min="775" max="1024" width="9.140625" style="1"/>
    <col min="1025" max="1025" width="5.140625" style="1" customWidth="1"/>
    <col min="1026" max="1026" width="46.85546875" style="1" customWidth="1"/>
    <col min="1027" max="1027" width="7.140625" style="1" customWidth="1"/>
    <col min="1028" max="1028" width="10.140625" style="1" customWidth="1"/>
    <col min="1029" max="1029" width="11.28515625" style="1" customWidth="1"/>
    <col min="1030" max="1030" width="13.7109375" style="1" customWidth="1"/>
    <col min="1031" max="1280" width="9.140625" style="1"/>
    <col min="1281" max="1281" width="5.140625" style="1" customWidth="1"/>
    <col min="1282" max="1282" width="46.85546875" style="1" customWidth="1"/>
    <col min="1283" max="1283" width="7.140625" style="1" customWidth="1"/>
    <col min="1284" max="1284" width="10.140625" style="1" customWidth="1"/>
    <col min="1285" max="1285" width="11.28515625" style="1" customWidth="1"/>
    <col min="1286" max="1286" width="13.7109375" style="1" customWidth="1"/>
    <col min="1287" max="1536" width="9.140625" style="1"/>
    <col min="1537" max="1537" width="5.140625" style="1" customWidth="1"/>
    <col min="1538" max="1538" width="46.85546875" style="1" customWidth="1"/>
    <col min="1539" max="1539" width="7.140625" style="1" customWidth="1"/>
    <col min="1540" max="1540" width="10.140625" style="1" customWidth="1"/>
    <col min="1541" max="1541" width="11.28515625" style="1" customWidth="1"/>
    <col min="1542" max="1542" width="13.7109375" style="1" customWidth="1"/>
    <col min="1543" max="1792" width="9.140625" style="1"/>
    <col min="1793" max="1793" width="5.140625" style="1" customWidth="1"/>
    <col min="1794" max="1794" width="46.85546875" style="1" customWidth="1"/>
    <col min="1795" max="1795" width="7.140625" style="1" customWidth="1"/>
    <col min="1796" max="1796" width="10.140625" style="1" customWidth="1"/>
    <col min="1797" max="1797" width="11.28515625" style="1" customWidth="1"/>
    <col min="1798" max="1798" width="13.7109375" style="1" customWidth="1"/>
    <col min="1799" max="2048" width="9.140625" style="1"/>
    <col min="2049" max="2049" width="5.140625" style="1" customWidth="1"/>
    <col min="2050" max="2050" width="46.85546875" style="1" customWidth="1"/>
    <col min="2051" max="2051" width="7.140625" style="1" customWidth="1"/>
    <col min="2052" max="2052" width="10.140625" style="1" customWidth="1"/>
    <col min="2053" max="2053" width="11.28515625" style="1" customWidth="1"/>
    <col min="2054" max="2054" width="13.7109375" style="1" customWidth="1"/>
    <col min="2055" max="2304" width="9.140625" style="1"/>
    <col min="2305" max="2305" width="5.140625" style="1" customWidth="1"/>
    <col min="2306" max="2306" width="46.85546875" style="1" customWidth="1"/>
    <col min="2307" max="2307" width="7.140625" style="1" customWidth="1"/>
    <col min="2308" max="2308" width="10.140625" style="1" customWidth="1"/>
    <col min="2309" max="2309" width="11.28515625" style="1" customWidth="1"/>
    <col min="2310" max="2310" width="13.7109375" style="1" customWidth="1"/>
    <col min="2311" max="2560" width="9.140625" style="1"/>
    <col min="2561" max="2561" width="5.140625" style="1" customWidth="1"/>
    <col min="2562" max="2562" width="46.85546875" style="1" customWidth="1"/>
    <col min="2563" max="2563" width="7.140625" style="1" customWidth="1"/>
    <col min="2564" max="2564" width="10.140625" style="1" customWidth="1"/>
    <col min="2565" max="2565" width="11.28515625" style="1" customWidth="1"/>
    <col min="2566" max="2566" width="13.7109375" style="1" customWidth="1"/>
    <col min="2567" max="2816" width="9.140625" style="1"/>
    <col min="2817" max="2817" width="5.140625" style="1" customWidth="1"/>
    <col min="2818" max="2818" width="46.85546875" style="1" customWidth="1"/>
    <col min="2819" max="2819" width="7.140625" style="1" customWidth="1"/>
    <col min="2820" max="2820" width="10.140625" style="1" customWidth="1"/>
    <col min="2821" max="2821" width="11.28515625" style="1" customWidth="1"/>
    <col min="2822" max="2822" width="13.7109375" style="1" customWidth="1"/>
    <col min="2823" max="3072" width="9.140625" style="1"/>
    <col min="3073" max="3073" width="5.140625" style="1" customWidth="1"/>
    <col min="3074" max="3074" width="46.85546875" style="1" customWidth="1"/>
    <col min="3075" max="3075" width="7.140625" style="1" customWidth="1"/>
    <col min="3076" max="3076" width="10.140625" style="1" customWidth="1"/>
    <col min="3077" max="3077" width="11.28515625" style="1" customWidth="1"/>
    <col min="3078" max="3078" width="13.7109375" style="1" customWidth="1"/>
    <col min="3079" max="3328" width="9.140625" style="1"/>
    <col min="3329" max="3329" width="5.140625" style="1" customWidth="1"/>
    <col min="3330" max="3330" width="46.85546875" style="1" customWidth="1"/>
    <col min="3331" max="3331" width="7.140625" style="1" customWidth="1"/>
    <col min="3332" max="3332" width="10.140625" style="1" customWidth="1"/>
    <col min="3333" max="3333" width="11.28515625" style="1" customWidth="1"/>
    <col min="3334" max="3334" width="13.7109375" style="1" customWidth="1"/>
    <col min="3335" max="3584" width="9.140625" style="1"/>
    <col min="3585" max="3585" width="5.140625" style="1" customWidth="1"/>
    <col min="3586" max="3586" width="46.85546875" style="1" customWidth="1"/>
    <col min="3587" max="3587" width="7.140625" style="1" customWidth="1"/>
    <col min="3588" max="3588" width="10.140625" style="1" customWidth="1"/>
    <col min="3589" max="3589" width="11.28515625" style="1" customWidth="1"/>
    <col min="3590" max="3590" width="13.7109375" style="1" customWidth="1"/>
    <col min="3591" max="3840" width="9.140625" style="1"/>
    <col min="3841" max="3841" width="5.140625" style="1" customWidth="1"/>
    <col min="3842" max="3842" width="46.85546875" style="1" customWidth="1"/>
    <col min="3843" max="3843" width="7.140625" style="1" customWidth="1"/>
    <col min="3844" max="3844" width="10.140625" style="1" customWidth="1"/>
    <col min="3845" max="3845" width="11.28515625" style="1" customWidth="1"/>
    <col min="3846" max="3846" width="13.7109375" style="1" customWidth="1"/>
    <col min="3847" max="4096" width="9.140625" style="1"/>
    <col min="4097" max="4097" width="5.140625" style="1" customWidth="1"/>
    <col min="4098" max="4098" width="46.85546875" style="1" customWidth="1"/>
    <col min="4099" max="4099" width="7.140625" style="1" customWidth="1"/>
    <col min="4100" max="4100" width="10.140625" style="1" customWidth="1"/>
    <col min="4101" max="4101" width="11.28515625" style="1" customWidth="1"/>
    <col min="4102" max="4102" width="13.7109375" style="1" customWidth="1"/>
    <col min="4103" max="4352" width="9.140625" style="1"/>
    <col min="4353" max="4353" width="5.140625" style="1" customWidth="1"/>
    <col min="4354" max="4354" width="46.85546875" style="1" customWidth="1"/>
    <col min="4355" max="4355" width="7.140625" style="1" customWidth="1"/>
    <col min="4356" max="4356" width="10.140625" style="1" customWidth="1"/>
    <col min="4357" max="4357" width="11.28515625" style="1" customWidth="1"/>
    <col min="4358" max="4358" width="13.7109375" style="1" customWidth="1"/>
    <col min="4359" max="4608" width="9.140625" style="1"/>
    <col min="4609" max="4609" width="5.140625" style="1" customWidth="1"/>
    <col min="4610" max="4610" width="46.85546875" style="1" customWidth="1"/>
    <col min="4611" max="4611" width="7.140625" style="1" customWidth="1"/>
    <col min="4612" max="4612" width="10.140625" style="1" customWidth="1"/>
    <col min="4613" max="4613" width="11.28515625" style="1" customWidth="1"/>
    <col min="4614" max="4614" width="13.7109375" style="1" customWidth="1"/>
    <col min="4615" max="4864" width="9.140625" style="1"/>
    <col min="4865" max="4865" width="5.140625" style="1" customWidth="1"/>
    <col min="4866" max="4866" width="46.85546875" style="1" customWidth="1"/>
    <col min="4867" max="4867" width="7.140625" style="1" customWidth="1"/>
    <col min="4868" max="4868" width="10.140625" style="1" customWidth="1"/>
    <col min="4869" max="4869" width="11.28515625" style="1" customWidth="1"/>
    <col min="4870" max="4870" width="13.7109375" style="1" customWidth="1"/>
    <col min="4871" max="5120" width="9.140625" style="1"/>
    <col min="5121" max="5121" width="5.140625" style="1" customWidth="1"/>
    <col min="5122" max="5122" width="46.85546875" style="1" customWidth="1"/>
    <col min="5123" max="5123" width="7.140625" style="1" customWidth="1"/>
    <col min="5124" max="5124" width="10.140625" style="1" customWidth="1"/>
    <col min="5125" max="5125" width="11.28515625" style="1" customWidth="1"/>
    <col min="5126" max="5126" width="13.7109375" style="1" customWidth="1"/>
    <col min="5127" max="5376" width="9.140625" style="1"/>
    <col min="5377" max="5377" width="5.140625" style="1" customWidth="1"/>
    <col min="5378" max="5378" width="46.85546875" style="1" customWidth="1"/>
    <col min="5379" max="5379" width="7.140625" style="1" customWidth="1"/>
    <col min="5380" max="5380" width="10.140625" style="1" customWidth="1"/>
    <col min="5381" max="5381" width="11.28515625" style="1" customWidth="1"/>
    <col min="5382" max="5382" width="13.7109375" style="1" customWidth="1"/>
    <col min="5383" max="5632" width="9.140625" style="1"/>
    <col min="5633" max="5633" width="5.140625" style="1" customWidth="1"/>
    <col min="5634" max="5634" width="46.85546875" style="1" customWidth="1"/>
    <col min="5635" max="5635" width="7.140625" style="1" customWidth="1"/>
    <col min="5636" max="5636" width="10.140625" style="1" customWidth="1"/>
    <col min="5637" max="5637" width="11.28515625" style="1" customWidth="1"/>
    <col min="5638" max="5638" width="13.7109375" style="1" customWidth="1"/>
    <col min="5639" max="5888" width="9.140625" style="1"/>
    <col min="5889" max="5889" width="5.140625" style="1" customWidth="1"/>
    <col min="5890" max="5890" width="46.85546875" style="1" customWidth="1"/>
    <col min="5891" max="5891" width="7.140625" style="1" customWidth="1"/>
    <col min="5892" max="5892" width="10.140625" style="1" customWidth="1"/>
    <col min="5893" max="5893" width="11.28515625" style="1" customWidth="1"/>
    <col min="5894" max="5894" width="13.7109375" style="1" customWidth="1"/>
    <col min="5895" max="6144" width="9.140625" style="1"/>
    <col min="6145" max="6145" width="5.140625" style="1" customWidth="1"/>
    <col min="6146" max="6146" width="46.85546875" style="1" customWidth="1"/>
    <col min="6147" max="6147" width="7.140625" style="1" customWidth="1"/>
    <col min="6148" max="6148" width="10.140625" style="1" customWidth="1"/>
    <col min="6149" max="6149" width="11.28515625" style="1" customWidth="1"/>
    <col min="6150" max="6150" width="13.7109375" style="1" customWidth="1"/>
    <col min="6151" max="6400" width="9.140625" style="1"/>
    <col min="6401" max="6401" width="5.140625" style="1" customWidth="1"/>
    <col min="6402" max="6402" width="46.85546875" style="1" customWidth="1"/>
    <col min="6403" max="6403" width="7.140625" style="1" customWidth="1"/>
    <col min="6404" max="6404" width="10.140625" style="1" customWidth="1"/>
    <col min="6405" max="6405" width="11.28515625" style="1" customWidth="1"/>
    <col min="6406" max="6406" width="13.7109375" style="1" customWidth="1"/>
    <col min="6407" max="6656" width="9.140625" style="1"/>
    <col min="6657" max="6657" width="5.140625" style="1" customWidth="1"/>
    <col min="6658" max="6658" width="46.85546875" style="1" customWidth="1"/>
    <col min="6659" max="6659" width="7.140625" style="1" customWidth="1"/>
    <col min="6660" max="6660" width="10.140625" style="1" customWidth="1"/>
    <col min="6661" max="6661" width="11.28515625" style="1" customWidth="1"/>
    <col min="6662" max="6662" width="13.7109375" style="1" customWidth="1"/>
    <col min="6663" max="6912" width="9.140625" style="1"/>
    <col min="6913" max="6913" width="5.140625" style="1" customWidth="1"/>
    <col min="6914" max="6914" width="46.85546875" style="1" customWidth="1"/>
    <col min="6915" max="6915" width="7.140625" style="1" customWidth="1"/>
    <col min="6916" max="6916" width="10.140625" style="1" customWidth="1"/>
    <col min="6917" max="6917" width="11.28515625" style="1" customWidth="1"/>
    <col min="6918" max="6918" width="13.7109375" style="1" customWidth="1"/>
    <col min="6919" max="7168" width="9.140625" style="1"/>
    <col min="7169" max="7169" width="5.140625" style="1" customWidth="1"/>
    <col min="7170" max="7170" width="46.85546875" style="1" customWidth="1"/>
    <col min="7171" max="7171" width="7.140625" style="1" customWidth="1"/>
    <col min="7172" max="7172" width="10.140625" style="1" customWidth="1"/>
    <col min="7173" max="7173" width="11.28515625" style="1" customWidth="1"/>
    <col min="7174" max="7174" width="13.7109375" style="1" customWidth="1"/>
    <col min="7175" max="7424" width="9.140625" style="1"/>
    <col min="7425" max="7425" width="5.140625" style="1" customWidth="1"/>
    <col min="7426" max="7426" width="46.85546875" style="1" customWidth="1"/>
    <col min="7427" max="7427" width="7.140625" style="1" customWidth="1"/>
    <col min="7428" max="7428" width="10.140625" style="1" customWidth="1"/>
    <col min="7429" max="7429" width="11.28515625" style="1" customWidth="1"/>
    <col min="7430" max="7430" width="13.7109375" style="1" customWidth="1"/>
    <col min="7431" max="7680" width="9.140625" style="1"/>
    <col min="7681" max="7681" width="5.140625" style="1" customWidth="1"/>
    <col min="7682" max="7682" width="46.85546875" style="1" customWidth="1"/>
    <col min="7683" max="7683" width="7.140625" style="1" customWidth="1"/>
    <col min="7684" max="7684" width="10.140625" style="1" customWidth="1"/>
    <col min="7685" max="7685" width="11.28515625" style="1" customWidth="1"/>
    <col min="7686" max="7686" width="13.7109375" style="1" customWidth="1"/>
    <col min="7687" max="7936" width="9.140625" style="1"/>
    <col min="7937" max="7937" width="5.140625" style="1" customWidth="1"/>
    <col min="7938" max="7938" width="46.85546875" style="1" customWidth="1"/>
    <col min="7939" max="7939" width="7.140625" style="1" customWidth="1"/>
    <col min="7940" max="7940" width="10.140625" style="1" customWidth="1"/>
    <col min="7941" max="7941" width="11.28515625" style="1" customWidth="1"/>
    <col min="7942" max="7942" width="13.7109375" style="1" customWidth="1"/>
    <col min="7943" max="8192" width="9.140625" style="1"/>
    <col min="8193" max="8193" width="5.140625" style="1" customWidth="1"/>
    <col min="8194" max="8194" width="46.85546875" style="1" customWidth="1"/>
    <col min="8195" max="8195" width="7.140625" style="1" customWidth="1"/>
    <col min="8196" max="8196" width="10.140625" style="1" customWidth="1"/>
    <col min="8197" max="8197" width="11.28515625" style="1" customWidth="1"/>
    <col min="8198" max="8198" width="13.7109375" style="1" customWidth="1"/>
    <col min="8199" max="8448" width="9.140625" style="1"/>
    <col min="8449" max="8449" width="5.140625" style="1" customWidth="1"/>
    <col min="8450" max="8450" width="46.85546875" style="1" customWidth="1"/>
    <col min="8451" max="8451" width="7.140625" style="1" customWidth="1"/>
    <col min="8452" max="8452" width="10.140625" style="1" customWidth="1"/>
    <col min="8453" max="8453" width="11.28515625" style="1" customWidth="1"/>
    <col min="8454" max="8454" width="13.7109375" style="1" customWidth="1"/>
    <col min="8455" max="8704" width="9.140625" style="1"/>
    <col min="8705" max="8705" width="5.140625" style="1" customWidth="1"/>
    <col min="8706" max="8706" width="46.85546875" style="1" customWidth="1"/>
    <col min="8707" max="8707" width="7.140625" style="1" customWidth="1"/>
    <col min="8708" max="8708" width="10.140625" style="1" customWidth="1"/>
    <col min="8709" max="8709" width="11.28515625" style="1" customWidth="1"/>
    <col min="8710" max="8710" width="13.7109375" style="1" customWidth="1"/>
    <col min="8711" max="8960" width="9.140625" style="1"/>
    <col min="8961" max="8961" width="5.140625" style="1" customWidth="1"/>
    <col min="8962" max="8962" width="46.85546875" style="1" customWidth="1"/>
    <col min="8963" max="8963" width="7.140625" style="1" customWidth="1"/>
    <col min="8964" max="8964" width="10.140625" style="1" customWidth="1"/>
    <col min="8965" max="8965" width="11.28515625" style="1" customWidth="1"/>
    <col min="8966" max="8966" width="13.7109375" style="1" customWidth="1"/>
    <col min="8967" max="9216" width="9.140625" style="1"/>
    <col min="9217" max="9217" width="5.140625" style="1" customWidth="1"/>
    <col min="9218" max="9218" width="46.85546875" style="1" customWidth="1"/>
    <col min="9219" max="9219" width="7.140625" style="1" customWidth="1"/>
    <col min="9220" max="9220" width="10.140625" style="1" customWidth="1"/>
    <col min="9221" max="9221" width="11.28515625" style="1" customWidth="1"/>
    <col min="9222" max="9222" width="13.7109375" style="1" customWidth="1"/>
    <col min="9223" max="9472" width="9.140625" style="1"/>
    <col min="9473" max="9473" width="5.140625" style="1" customWidth="1"/>
    <col min="9474" max="9474" width="46.85546875" style="1" customWidth="1"/>
    <col min="9475" max="9475" width="7.140625" style="1" customWidth="1"/>
    <col min="9476" max="9476" width="10.140625" style="1" customWidth="1"/>
    <col min="9477" max="9477" width="11.28515625" style="1" customWidth="1"/>
    <col min="9478" max="9478" width="13.7109375" style="1" customWidth="1"/>
    <col min="9479" max="9728" width="9.140625" style="1"/>
    <col min="9729" max="9729" width="5.140625" style="1" customWidth="1"/>
    <col min="9730" max="9730" width="46.85546875" style="1" customWidth="1"/>
    <col min="9731" max="9731" width="7.140625" style="1" customWidth="1"/>
    <col min="9732" max="9732" width="10.140625" style="1" customWidth="1"/>
    <col min="9733" max="9733" width="11.28515625" style="1" customWidth="1"/>
    <col min="9734" max="9734" width="13.7109375" style="1" customWidth="1"/>
    <col min="9735" max="9984" width="9.140625" style="1"/>
    <col min="9985" max="9985" width="5.140625" style="1" customWidth="1"/>
    <col min="9986" max="9986" width="46.85546875" style="1" customWidth="1"/>
    <col min="9987" max="9987" width="7.140625" style="1" customWidth="1"/>
    <col min="9988" max="9988" width="10.140625" style="1" customWidth="1"/>
    <col min="9989" max="9989" width="11.28515625" style="1" customWidth="1"/>
    <col min="9990" max="9990" width="13.7109375" style="1" customWidth="1"/>
    <col min="9991" max="10240" width="9.140625" style="1"/>
    <col min="10241" max="10241" width="5.140625" style="1" customWidth="1"/>
    <col min="10242" max="10242" width="46.85546875" style="1" customWidth="1"/>
    <col min="10243" max="10243" width="7.140625" style="1" customWidth="1"/>
    <col min="10244" max="10244" width="10.140625" style="1" customWidth="1"/>
    <col min="10245" max="10245" width="11.28515625" style="1" customWidth="1"/>
    <col min="10246" max="10246" width="13.7109375" style="1" customWidth="1"/>
    <col min="10247" max="10496" width="9.140625" style="1"/>
    <col min="10497" max="10497" width="5.140625" style="1" customWidth="1"/>
    <col min="10498" max="10498" width="46.85546875" style="1" customWidth="1"/>
    <col min="10499" max="10499" width="7.140625" style="1" customWidth="1"/>
    <col min="10500" max="10500" width="10.140625" style="1" customWidth="1"/>
    <col min="10501" max="10501" width="11.28515625" style="1" customWidth="1"/>
    <col min="10502" max="10502" width="13.7109375" style="1" customWidth="1"/>
    <col min="10503" max="10752" width="9.140625" style="1"/>
    <col min="10753" max="10753" width="5.140625" style="1" customWidth="1"/>
    <col min="10754" max="10754" width="46.85546875" style="1" customWidth="1"/>
    <col min="10755" max="10755" width="7.140625" style="1" customWidth="1"/>
    <col min="10756" max="10756" width="10.140625" style="1" customWidth="1"/>
    <col min="10757" max="10757" width="11.28515625" style="1" customWidth="1"/>
    <col min="10758" max="10758" width="13.7109375" style="1" customWidth="1"/>
    <col min="10759" max="11008" width="9.140625" style="1"/>
    <col min="11009" max="11009" width="5.140625" style="1" customWidth="1"/>
    <col min="11010" max="11010" width="46.85546875" style="1" customWidth="1"/>
    <col min="11011" max="11011" width="7.140625" style="1" customWidth="1"/>
    <col min="11012" max="11012" width="10.140625" style="1" customWidth="1"/>
    <col min="11013" max="11013" width="11.28515625" style="1" customWidth="1"/>
    <col min="11014" max="11014" width="13.7109375" style="1" customWidth="1"/>
    <col min="11015" max="11264" width="9.140625" style="1"/>
    <col min="11265" max="11265" width="5.140625" style="1" customWidth="1"/>
    <col min="11266" max="11266" width="46.85546875" style="1" customWidth="1"/>
    <col min="11267" max="11267" width="7.140625" style="1" customWidth="1"/>
    <col min="11268" max="11268" width="10.140625" style="1" customWidth="1"/>
    <col min="11269" max="11269" width="11.28515625" style="1" customWidth="1"/>
    <col min="11270" max="11270" width="13.7109375" style="1" customWidth="1"/>
    <col min="11271" max="11520" width="9.140625" style="1"/>
    <col min="11521" max="11521" width="5.140625" style="1" customWidth="1"/>
    <col min="11522" max="11522" width="46.85546875" style="1" customWidth="1"/>
    <col min="11523" max="11523" width="7.140625" style="1" customWidth="1"/>
    <col min="11524" max="11524" width="10.140625" style="1" customWidth="1"/>
    <col min="11525" max="11525" width="11.28515625" style="1" customWidth="1"/>
    <col min="11526" max="11526" width="13.7109375" style="1" customWidth="1"/>
    <col min="11527" max="11776" width="9.140625" style="1"/>
    <col min="11777" max="11777" width="5.140625" style="1" customWidth="1"/>
    <col min="11778" max="11778" width="46.85546875" style="1" customWidth="1"/>
    <col min="11779" max="11779" width="7.140625" style="1" customWidth="1"/>
    <col min="11780" max="11780" width="10.140625" style="1" customWidth="1"/>
    <col min="11781" max="11781" width="11.28515625" style="1" customWidth="1"/>
    <col min="11782" max="11782" width="13.7109375" style="1" customWidth="1"/>
    <col min="11783" max="12032" width="9.140625" style="1"/>
    <col min="12033" max="12033" width="5.140625" style="1" customWidth="1"/>
    <col min="12034" max="12034" width="46.85546875" style="1" customWidth="1"/>
    <col min="12035" max="12035" width="7.140625" style="1" customWidth="1"/>
    <col min="12036" max="12036" width="10.140625" style="1" customWidth="1"/>
    <col min="12037" max="12037" width="11.28515625" style="1" customWidth="1"/>
    <col min="12038" max="12038" width="13.7109375" style="1" customWidth="1"/>
    <col min="12039" max="12288" width="9.140625" style="1"/>
    <col min="12289" max="12289" width="5.140625" style="1" customWidth="1"/>
    <col min="12290" max="12290" width="46.85546875" style="1" customWidth="1"/>
    <col min="12291" max="12291" width="7.140625" style="1" customWidth="1"/>
    <col min="12292" max="12292" width="10.140625" style="1" customWidth="1"/>
    <col min="12293" max="12293" width="11.28515625" style="1" customWidth="1"/>
    <col min="12294" max="12294" width="13.7109375" style="1" customWidth="1"/>
    <col min="12295" max="12544" width="9.140625" style="1"/>
    <col min="12545" max="12545" width="5.140625" style="1" customWidth="1"/>
    <col min="12546" max="12546" width="46.85546875" style="1" customWidth="1"/>
    <col min="12547" max="12547" width="7.140625" style="1" customWidth="1"/>
    <col min="12548" max="12548" width="10.140625" style="1" customWidth="1"/>
    <col min="12549" max="12549" width="11.28515625" style="1" customWidth="1"/>
    <col min="12550" max="12550" width="13.7109375" style="1" customWidth="1"/>
    <col min="12551" max="12800" width="9.140625" style="1"/>
    <col min="12801" max="12801" width="5.140625" style="1" customWidth="1"/>
    <col min="12802" max="12802" width="46.85546875" style="1" customWidth="1"/>
    <col min="12803" max="12803" width="7.140625" style="1" customWidth="1"/>
    <col min="12804" max="12804" width="10.140625" style="1" customWidth="1"/>
    <col min="12805" max="12805" width="11.28515625" style="1" customWidth="1"/>
    <col min="12806" max="12806" width="13.7109375" style="1" customWidth="1"/>
    <col min="12807" max="13056" width="9.140625" style="1"/>
    <col min="13057" max="13057" width="5.140625" style="1" customWidth="1"/>
    <col min="13058" max="13058" width="46.85546875" style="1" customWidth="1"/>
    <col min="13059" max="13059" width="7.140625" style="1" customWidth="1"/>
    <col min="13060" max="13060" width="10.140625" style="1" customWidth="1"/>
    <col min="13061" max="13061" width="11.28515625" style="1" customWidth="1"/>
    <col min="13062" max="13062" width="13.7109375" style="1" customWidth="1"/>
    <col min="13063" max="13312" width="9.140625" style="1"/>
    <col min="13313" max="13313" width="5.140625" style="1" customWidth="1"/>
    <col min="13314" max="13314" width="46.85546875" style="1" customWidth="1"/>
    <col min="13315" max="13315" width="7.140625" style="1" customWidth="1"/>
    <col min="13316" max="13316" width="10.140625" style="1" customWidth="1"/>
    <col min="13317" max="13317" width="11.28515625" style="1" customWidth="1"/>
    <col min="13318" max="13318" width="13.7109375" style="1" customWidth="1"/>
    <col min="13319" max="13568" width="9.140625" style="1"/>
    <col min="13569" max="13569" width="5.140625" style="1" customWidth="1"/>
    <col min="13570" max="13570" width="46.85546875" style="1" customWidth="1"/>
    <col min="13571" max="13571" width="7.140625" style="1" customWidth="1"/>
    <col min="13572" max="13572" width="10.140625" style="1" customWidth="1"/>
    <col min="13573" max="13573" width="11.28515625" style="1" customWidth="1"/>
    <col min="13574" max="13574" width="13.7109375" style="1" customWidth="1"/>
    <col min="13575" max="13824" width="9.140625" style="1"/>
    <col min="13825" max="13825" width="5.140625" style="1" customWidth="1"/>
    <col min="13826" max="13826" width="46.85546875" style="1" customWidth="1"/>
    <col min="13827" max="13827" width="7.140625" style="1" customWidth="1"/>
    <col min="13828" max="13828" width="10.140625" style="1" customWidth="1"/>
    <col min="13829" max="13829" width="11.28515625" style="1" customWidth="1"/>
    <col min="13830" max="13830" width="13.7109375" style="1" customWidth="1"/>
    <col min="13831" max="14080" width="9.140625" style="1"/>
    <col min="14081" max="14081" width="5.140625" style="1" customWidth="1"/>
    <col min="14082" max="14082" width="46.85546875" style="1" customWidth="1"/>
    <col min="14083" max="14083" width="7.140625" style="1" customWidth="1"/>
    <col min="14084" max="14084" width="10.140625" style="1" customWidth="1"/>
    <col min="14085" max="14085" width="11.28515625" style="1" customWidth="1"/>
    <col min="14086" max="14086" width="13.7109375" style="1" customWidth="1"/>
    <col min="14087" max="14336" width="9.140625" style="1"/>
    <col min="14337" max="14337" width="5.140625" style="1" customWidth="1"/>
    <col min="14338" max="14338" width="46.85546875" style="1" customWidth="1"/>
    <col min="14339" max="14339" width="7.140625" style="1" customWidth="1"/>
    <col min="14340" max="14340" width="10.140625" style="1" customWidth="1"/>
    <col min="14341" max="14341" width="11.28515625" style="1" customWidth="1"/>
    <col min="14342" max="14342" width="13.7109375" style="1" customWidth="1"/>
    <col min="14343" max="14592" width="9.140625" style="1"/>
    <col min="14593" max="14593" width="5.140625" style="1" customWidth="1"/>
    <col min="14594" max="14594" width="46.85546875" style="1" customWidth="1"/>
    <col min="14595" max="14595" width="7.140625" style="1" customWidth="1"/>
    <col min="14596" max="14596" width="10.140625" style="1" customWidth="1"/>
    <col min="14597" max="14597" width="11.28515625" style="1" customWidth="1"/>
    <col min="14598" max="14598" width="13.7109375" style="1" customWidth="1"/>
    <col min="14599" max="14848" width="9.140625" style="1"/>
    <col min="14849" max="14849" width="5.140625" style="1" customWidth="1"/>
    <col min="14850" max="14850" width="46.85546875" style="1" customWidth="1"/>
    <col min="14851" max="14851" width="7.140625" style="1" customWidth="1"/>
    <col min="14852" max="14852" width="10.140625" style="1" customWidth="1"/>
    <col min="14853" max="14853" width="11.28515625" style="1" customWidth="1"/>
    <col min="14854" max="14854" width="13.7109375" style="1" customWidth="1"/>
    <col min="14855" max="15104" width="9.140625" style="1"/>
    <col min="15105" max="15105" width="5.140625" style="1" customWidth="1"/>
    <col min="15106" max="15106" width="46.85546875" style="1" customWidth="1"/>
    <col min="15107" max="15107" width="7.140625" style="1" customWidth="1"/>
    <col min="15108" max="15108" width="10.140625" style="1" customWidth="1"/>
    <col min="15109" max="15109" width="11.28515625" style="1" customWidth="1"/>
    <col min="15110" max="15110" width="13.7109375" style="1" customWidth="1"/>
    <col min="15111" max="15360" width="9.140625" style="1"/>
    <col min="15361" max="15361" width="5.140625" style="1" customWidth="1"/>
    <col min="15362" max="15362" width="46.85546875" style="1" customWidth="1"/>
    <col min="15363" max="15363" width="7.140625" style="1" customWidth="1"/>
    <col min="15364" max="15364" width="10.140625" style="1" customWidth="1"/>
    <col min="15365" max="15365" width="11.28515625" style="1" customWidth="1"/>
    <col min="15366" max="15366" width="13.7109375" style="1" customWidth="1"/>
    <col min="15367" max="15616" width="9.140625" style="1"/>
    <col min="15617" max="15617" width="5.140625" style="1" customWidth="1"/>
    <col min="15618" max="15618" width="46.85546875" style="1" customWidth="1"/>
    <col min="15619" max="15619" width="7.140625" style="1" customWidth="1"/>
    <col min="15620" max="15620" width="10.140625" style="1" customWidth="1"/>
    <col min="15621" max="15621" width="11.28515625" style="1" customWidth="1"/>
    <col min="15622" max="15622" width="13.7109375" style="1" customWidth="1"/>
    <col min="15623" max="15872" width="9.140625" style="1"/>
    <col min="15873" max="15873" width="5.140625" style="1" customWidth="1"/>
    <col min="15874" max="15874" width="46.85546875" style="1" customWidth="1"/>
    <col min="15875" max="15875" width="7.140625" style="1" customWidth="1"/>
    <col min="15876" max="15876" width="10.140625" style="1" customWidth="1"/>
    <col min="15877" max="15877" width="11.28515625" style="1" customWidth="1"/>
    <col min="15878" max="15878" width="13.7109375" style="1" customWidth="1"/>
    <col min="15879" max="16128" width="9.140625" style="1"/>
    <col min="16129" max="16129" width="5.140625" style="1" customWidth="1"/>
    <col min="16130" max="16130" width="46.85546875" style="1" customWidth="1"/>
    <col min="16131" max="16131" width="7.140625" style="1" customWidth="1"/>
    <col min="16132" max="16132" width="10.140625" style="1" customWidth="1"/>
    <col min="16133" max="16133" width="11.28515625" style="1" customWidth="1"/>
    <col min="16134" max="16134" width="13.7109375" style="1" customWidth="1"/>
    <col min="16135" max="16384" width="9.140625" style="1"/>
  </cols>
  <sheetData>
    <row r="1" spans="1:6" ht="50.25" customHeight="1">
      <c r="A1" s="3203"/>
      <c r="B1" s="3203"/>
      <c r="C1" s="3204" t="s">
        <v>1225</v>
      </c>
      <c r="D1" s="3204"/>
      <c r="E1" s="3204"/>
      <c r="F1" s="3204"/>
    </row>
    <row r="2" spans="1:6" ht="15">
      <c r="A2" s="3205" t="s">
        <v>44</v>
      </c>
      <c r="B2" s="3205"/>
      <c r="C2" s="3205"/>
      <c r="D2" s="3205"/>
      <c r="E2" s="3205"/>
      <c r="F2" s="3205"/>
    </row>
    <row r="3" spans="1:6" ht="9" customHeight="1">
      <c r="A3" s="29"/>
      <c r="B3" s="29"/>
      <c r="C3" s="29"/>
      <c r="D3" s="29"/>
      <c r="E3" s="29"/>
      <c r="F3" s="29"/>
    </row>
    <row r="4" spans="1:6" ht="15" thickBot="1">
      <c r="A4" s="3206" t="s">
        <v>12</v>
      </c>
      <c r="B4" s="3206"/>
      <c r="C4" s="3206"/>
      <c r="D4" s="3206"/>
      <c r="E4" s="3206"/>
      <c r="F4" s="3206"/>
    </row>
    <row r="5" spans="1:6" ht="35.25" customHeight="1" thickBot="1">
      <c r="A5" s="74" t="s">
        <v>6</v>
      </c>
      <c r="B5" s="74" t="s">
        <v>22</v>
      </c>
      <c r="C5" s="74" t="s">
        <v>0</v>
      </c>
      <c r="D5" s="74" t="s">
        <v>1</v>
      </c>
      <c r="E5" s="74" t="s">
        <v>3</v>
      </c>
      <c r="F5" s="28" t="s">
        <v>21</v>
      </c>
    </row>
    <row r="6" spans="1:6">
      <c r="A6" s="67">
        <v>1</v>
      </c>
      <c r="B6" s="3" t="s">
        <v>118</v>
      </c>
      <c r="C6" s="3207">
        <v>921</v>
      </c>
      <c r="D6" s="3181">
        <v>92118</v>
      </c>
      <c r="E6" s="3181">
        <v>2480</v>
      </c>
      <c r="F6" s="76">
        <v>4450000</v>
      </c>
    </row>
    <row r="7" spans="1:6">
      <c r="A7" s="77">
        <v>2</v>
      </c>
      <c r="B7" s="22" t="s">
        <v>43</v>
      </c>
      <c r="C7" s="3208"/>
      <c r="D7" s="3182"/>
      <c r="E7" s="3182"/>
      <c r="F7" s="24">
        <v>3442790</v>
      </c>
    </row>
    <row r="8" spans="1:6">
      <c r="A8" s="77">
        <v>3</v>
      </c>
      <c r="B8" s="22" t="s">
        <v>42</v>
      </c>
      <c r="C8" s="3208"/>
      <c r="D8" s="3182"/>
      <c r="E8" s="3182"/>
      <c r="F8" s="23">
        <v>3797663</v>
      </c>
    </row>
    <row r="9" spans="1:6">
      <c r="A9" s="77">
        <v>4</v>
      </c>
      <c r="B9" s="22" t="s">
        <v>41</v>
      </c>
      <c r="C9" s="3208"/>
      <c r="D9" s="3182"/>
      <c r="E9" s="3182"/>
      <c r="F9" s="23">
        <v>2701710</v>
      </c>
    </row>
    <row r="10" spans="1:6" ht="15" customHeight="1">
      <c r="A10" s="77">
        <v>5</v>
      </c>
      <c r="B10" s="22" t="s">
        <v>40</v>
      </c>
      <c r="C10" s="3208"/>
      <c r="D10" s="3182"/>
      <c r="E10" s="3182"/>
      <c r="F10" s="23">
        <v>4213120</v>
      </c>
    </row>
    <row r="11" spans="1:6">
      <c r="A11" s="77">
        <v>6</v>
      </c>
      <c r="B11" s="22" t="s">
        <v>39</v>
      </c>
      <c r="C11" s="3208"/>
      <c r="D11" s="3182"/>
      <c r="E11" s="3182"/>
      <c r="F11" s="23">
        <v>3598782</v>
      </c>
    </row>
    <row r="12" spans="1:6">
      <c r="A12" s="78">
        <v>7</v>
      </c>
      <c r="B12" s="25" t="s">
        <v>38</v>
      </c>
      <c r="C12" s="3208"/>
      <c r="D12" s="3182"/>
      <c r="E12" s="3182"/>
      <c r="F12" s="42">
        <v>669420</v>
      </c>
    </row>
    <row r="13" spans="1:6" ht="25.5">
      <c r="A13" s="271">
        <v>8</v>
      </c>
      <c r="B13" s="272" t="s">
        <v>117</v>
      </c>
      <c r="C13" s="3209"/>
      <c r="D13" s="3182"/>
      <c r="E13" s="3182"/>
      <c r="F13" s="42">
        <v>75000</v>
      </c>
    </row>
    <row r="14" spans="1:6" ht="13.5" thickBot="1">
      <c r="A14" s="100">
        <v>9</v>
      </c>
      <c r="B14" s="87" t="s">
        <v>146</v>
      </c>
      <c r="C14" s="3208"/>
      <c r="D14" s="3183"/>
      <c r="E14" s="3182"/>
      <c r="F14" s="101">
        <v>700000</v>
      </c>
    </row>
    <row r="15" spans="1:6" ht="13.5" thickBot="1">
      <c r="A15" s="3211" t="s">
        <v>37</v>
      </c>
      <c r="B15" s="3212"/>
      <c r="C15" s="3208"/>
      <c r="D15" s="27">
        <v>92118</v>
      </c>
      <c r="E15" s="3182"/>
      <c r="F15" s="43">
        <f>SUM(F6:F14)</f>
        <v>23648485</v>
      </c>
    </row>
    <row r="16" spans="1:6">
      <c r="A16" s="26">
        <v>10</v>
      </c>
      <c r="B16" s="3" t="s">
        <v>36</v>
      </c>
      <c r="C16" s="3208"/>
      <c r="D16" s="3213">
        <v>92109</v>
      </c>
      <c r="E16" s="3182"/>
      <c r="F16" s="79">
        <f>4294995-300000</f>
        <v>3994995</v>
      </c>
    </row>
    <row r="17" spans="1:10" ht="13.5" thickBot="1">
      <c r="A17" s="78">
        <v>11</v>
      </c>
      <c r="B17" s="25" t="s">
        <v>35</v>
      </c>
      <c r="C17" s="3208"/>
      <c r="D17" s="3214"/>
      <c r="E17" s="3182"/>
      <c r="F17" s="42">
        <v>2569473</v>
      </c>
    </row>
    <row r="18" spans="1:10" ht="13.5" thickBot="1">
      <c r="A18" s="3211" t="s">
        <v>34</v>
      </c>
      <c r="B18" s="3212"/>
      <c r="C18" s="3208"/>
      <c r="D18" s="27">
        <v>92109</v>
      </c>
      <c r="E18" s="3182"/>
      <c r="F18" s="43">
        <f>SUM(F16:F17)</f>
        <v>6564468</v>
      </c>
    </row>
    <row r="19" spans="1:10">
      <c r="A19" s="26">
        <v>12</v>
      </c>
      <c r="B19" s="3" t="s">
        <v>33</v>
      </c>
      <c r="C19" s="3208"/>
      <c r="D19" s="69">
        <v>92106</v>
      </c>
      <c r="E19" s="3182"/>
      <c r="F19" s="79">
        <v>6511055</v>
      </c>
    </row>
    <row r="20" spans="1:10" ht="25.5">
      <c r="A20" s="77">
        <v>13</v>
      </c>
      <c r="B20" s="22" t="s">
        <v>32</v>
      </c>
      <c r="C20" s="3208"/>
      <c r="D20" s="70">
        <v>92108</v>
      </c>
      <c r="E20" s="3182"/>
      <c r="F20" s="44">
        <v>6369000</v>
      </c>
    </row>
    <row r="21" spans="1:10">
      <c r="A21" s="77">
        <v>14</v>
      </c>
      <c r="B21" s="22" t="s">
        <v>31</v>
      </c>
      <c r="C21" s="3208"/>
      <c r="D21" s="70">
        <v>92110</v>
      </c>
      <c r="E21" s="3182"/>
      <c r="F21" s="44">
        <v>585840</v>
      </c>
    </row>
    <row r="22" spans="1:10" ht="17.25" customHeight="1">
      <c r="A22" s="77">
        <v>15</v>
      </c>
      <c r="B22" s="22" t="s">
        <v>30</v>
      </c>
      <c r="C22" s="3208"/>
      <c r="D22" s="70">
        <v>92114</v>
      </c>
      <c r="E22" s="3182"/>
      <c r="F22" s="44">
        <v>1830900</v>
      </c>
    </row>
    <row r="23" spans="1:10" ht="26.25" thickBot="1">
      <c r="A23" s="68">
        <v>16</v>
      </c>
      <c r="B23" s="25" t="s">
        <v>29</v>
      </c>
      <c r="C23" s="3210"/>
      <c r="D23" s="71">
        <v>92116</v>
      </c>
      <c r="E23" s="3183"/>
      <c r="F23" s="45">
        <v>8140555</v>
      </c>
      <c r="G23" s="2"/>
      <c r="H23" s="2"/>
      <c r="J23" s="4"/>
    </row>
    <row r="24" spans="1:10" ht="15.75" thickBot="1">
      <c r="A24" s="3190" t="s">
        <v>28</v>
      </c>
      <c r="B24" s="3191"/>
      <c r="C24" s="3191"/>
      <c r="D24" s="3192"/>
      <c r="E24" s="66"/>
      <c r="F24" s="16">
        <f>SUM(F15,F18,F19:F23)</f>
        <v>53650303</v>
      </c>
      <c r="G24" s="2"/>
    </row>
    <row r="25" spans="1:10" ht="25.5">
      <c r="A25" s="90">
        <v>17</v>
      </c>
      <c r="B25" s="92" t="s">
        <v>136</v>
      </c>
      <c r="C25" s="2573">
        <v>851</v>
      </c>
      <c r="D25" s="3201">
        <v>85111</v>
      </c>
      <c r="E25" s="3179">
        <v>2560</v>
      </c>
      <c r="F25" s="89">
        <v>30000</v>
      </c>
    </row>
    <row r="26" spans="1:10" ht="25.5">
      <c r="A26" s="263">
        <v>18</v>
      </c>
      <c r="B26" s="92" t="s">
        <v>55</v>
      </c>
      <c r="C26" s="2573"/>
      <c r="D26" s="3201"/>
      <c r="E26" s="3179"/>
      <c r="F26" s="264">
        <f>180000+66000</f>
        <v>246000</v>
      </c>
    </row>
    <row r="27" spans="1:10" ht="15" customHeight="1">
      <c r="A27" s="90">
        <v>19</v>
      </c>
      <c r="B27" s="93" t="s">
        <v>53</v>
      </c>
      <c r="C27" s="2573"/>
      <c r="D27" s="3201"/>
      <c r="E27" s="3179"/>
      <c r="F27" s="96">
        <v>31000</v>
      </c>
    </row>
    <row r="28" spans="1:10" ht="15" customHeight="1" thickBot="1">
      <c r="A28" s="91">
        <v>20</v>
      </c>
      <c r="B28" s="87" t="s">
        <v>27</v>
      </c>
      <c r="C28" s="2573"/>
      <c r="D28" s="3202"/>
      <c r="E28" s="3179"/>
      <c r="F28" s="97">
        <v>29000</v>
      </c>
      <c r="G28" s="2"/>
    </row>
    <row r="29" spans="1:10" s="39" customFormat="1" ht="15" customHeight="1" thickBot="1">
      <c r="A29" s="3198" t="s">
        <v>26</v>
      </c>
      <c r="B29" s="3199"/>
      <c r="C29" s="2573"/>
      <c r="D29" s="88">
        <v>85111</v>
      </c>
      <c r="E29" s="3179"/>
      <c r="F29" s="38">
        <f>SUM(F25:F28)</f>
        <v>336000</v>
      </c>
    </row>
    <row r="30" spans="1:10" ht="28.5" customHeight="1">
      <c r="A30" s="67">
        <v>21</v>
      </c>
      <c r="B30" s="86" t="s">
        <v>105</v>
      </c>
      <c r="C30" s="2573"/>
      <c r="D30" s="94">
        <v>85120</v>
      </c>
      <c r="E30" s="3179"/>
      <c r="F30" s="98">
        <v>30000</v>
      </c>
    </row>
    <row r="31" spans="1:10" ht="28.5" customHeight="1" thickBot="1">
      <c r="A31" s="68">
        <v>22</v>
      </c>
      <c r="B31" s="87" t="s">
        <v>25</v>
      </c>
      <c r="C31" s="3200"/>
      <c r="D31" s="95">
        <v>85148</v>
      </c>
      <c r="E31" s="3180"/>
      <c r="F31" s="99">
        <v>1132550</v>
      </c>
    </row>
    <row r="32" spans="1:10" ht="15.75" thickBot="1">
      <c r="A32" s="3190" t="s">
        <v>24</v>
      </c>
      <c r="B32" s="3191"/>
      <c r="C32" s="3191"/>
      <c r="D32" s="3192"/>
      <c r="E32" s="72"/>
      <c r="F32" s="16">
        <f>SUM(F29:F31)</f>
        <v>1498550</v>
      </c>
      <c r="G32" s="2"/>
    </row>
    <row r="33" spans="1:8" ht="13.5" thickBot="1">
      <c r="A33" s="20">
        <v>23</v>
      </c>
      <c r="B33" s="21" t="s">
        <v>23</v>
      </c>
      <c r="C33" s="20">
        <v>853</v>
      </c>
      <c r="D33" s="19">
        <v>85311</v>
      </c>
      <c r="E33" s="18">
        <v>2570</v>
      </c>
      <c r="F33" s="17">
        <v>97778</v>
      </c>
    </row>
    <row r="34" spans="1:8" ht="15.75" thickBot="1">
      <c r="A34" s="3190" t="s">
        <v>14</v>
      </c>
      <c r="B34" s="3191"/>
      <c r="C34" s="3191"/>
      <c r="D34" s="3192"/>
      <c r="E34" s="75"/>
      <c r="F34" s="16">
        <f>SUM(F33:F33)</f>
        <v>97778</v>
      </c>
    </row>
    <row r="35" spans="1:8" ht="22.5" customHeight="1" thickBot="1">
      <c r="A35" s="3184" t="s">
        <v>13</v>
      </c>
      <c r="B35" s="3185"/>
      <c r="C35" s="3185"/>
      <c r="D35" s="3186"/>
      <c r="E35" s="15"/>
      <c r="F35" s="14">
        <f>SUM(F24,F32,F34)</f>
        <v>55246631</v>
      </c>
      <c r="H35" s="2"/>
    </row>
    <row r="36" spans="1:8" ht="10.5" customHeight="1">
      <c r="A36" s="80"/>
      <c r="B36" s="81"/>
      <c r="C36" s="81"/>
      <c r="D36" s="81"/>
      <c r="E36" s="81"/>
      <c r="F36" s="82"/>
    </row>
    <row r="37" spans="1:8" ht="15" thickBot="1">
      <c r="A37" s="3193" t="s">
        <v>11</v>
      </c>
      <c r="B37" s="3194"/>
      <c r="C37" s="3194"/>
      <c r="D37" s="3194"/>
      <c r="E37" s="3194"/>
      <c r="F37" s="3195"/>
    </row>
    <row r="38" spans="1:8" ht="30.75" thickBot="1">
      <c r="A38" s="72" t="s">
        <v>6</v>
      </c>
      <c r="B38" s="66" t="s">
        <v>22</v>
      </c>
      <c r="C38" s="72" t="s">
        <v>0</v>
      </c>
      <c r="D38" s="66" t="s">
        <v>1</v>
      </c>
      <c r="E38" s="72" t="s">
        <v>3</v>
      </c>
      <c r="F38" s="73" t="s">
        <v>21</v>
      </c>
    </row>
    <row r="39" spans="1:8">
      <c r="A39" s="13">
        <v>1</v>
      </c>
      <c r="B39" s="12" t="s">
        <v>20</v>
      </c>
      <c r="C39" s="3196">
        <v>853</v>
      </c>
      <c r="D39" s="3196">
        <v>85311</v>
      </c>
      <c r="E39" s="3181">
        <v>2580</v>
      </c>
      <c r="F39" s="11">
        <v>136889</v>
      </c>
      <c r="H39" s="2"/>
    </row>
    <row r="40" spans="1:8">
      <c r="A40" s="41">
        <v>2</v>
      </c>
      <c r="B40" s="10" t="s">
        <v>19</v>
      </c>
      <c r="C40" s="3197"/>
      <c r="D40" s="3197"/>
      <c r="E40" s="3182"/>
      <c r="F40" s="83">
        <v>176000</v>
      </c>
    </row>
    <row r="41" spans="1:8">
      <c r="A41" s="41">
        <v>3</v>
      </c>
      <c r="B41" s="10" t="s">
        <v>18</v>
      </c>
      <c r="C41" s="3197"/>
      <c r="D41" s="3197"/>
      <c r="E41" s="3182"/>
      <c r="F41" s="83">
        <v>129556</v>
      </c>
    </row>
    <row r="42" spans="1:8">
      <c r="A42" s="41">
        <v>4</v>
      </c>
      <c r="B42" s="10" t="s">
        <v>17</v>
      </c>
      <c r="C42" s="3197"/>
      <c r="D42" s="3197"/>
      <c r="E42" s="3182"/>
      <c r="F42" s="83">
        <v>193112</v>
      </c>
    </row>
    <row r="43" spans="1:8">
      <c r="A43" s="41">
        <v>5</v>
      </c>
      <c r="B43" s="10" t="s">
        <v>16</v>
      </c>
      <c r="C43" s="3197"/>
      <c r="D43" s="3197"/>
      <c r="E43" s="3182"/>
      <c r="F43" s="83">
        <v>78223</v>
      </c>
    </row>
    <row r="44" spans="1:8">
      <c r="A44" s="41">
        <v>6</v>
      </c>
      <c r="B44" s="10" t="s">
        <v>15</v>
      </c>
      <c r="C44" s="3197"/>
      <c r="D44" s="3197"/>
      <c r="E44" s="3182"/>
      <c r="F44" s="83">
        <v>90445</v>
      </c>
    </row>
    <row r="45" spans="1:8">
      <c r="A45" s="84">
        <v>7</v>
      </c>
      <c r="B45" s="36" t="s">
        <v>52</v>
      </c>
      <c r="C45" s="3197"/>
      <c r="D45" s="3197"/>
      <c r="E45" s="3182"/>
      <c r="F45" s="85">
        <v>75778</v>
      </c>
    </row>
    <row r="46" spans="1:8">
      <c r="A46" s="84">
        <v>8</v>
      </c>
      <c r="B46" s="40" t="s">
        <v>148</v>
      </c>
      <c r="C46" s="3197"/>
      <c r="D46" s="3197"/>
      <c r="E46" s="3182"/>
      <c r="F46" s="85">
        <v>61112</v>
      </c>
    </row>
    <row r="47" spans="1:8">
      <c r="A47" s="41">
        <v>9</v>
      </c>
      <c r="B47" s="40" t="s">
        <v>149</v>
      </c>
      <c r="C47" s="3197"/>
      <c r="D47" s="3197"/>
      <c r="E47" s="3182"/>
      <c r="F47" s="85">
        <v>83112</v>
      </c>
    </row>
    <row r="48" spans="1:8">
      <c r="A48" s="84">
        <v>10</v>
      </c>
      <c r="B48" s="36" t="s">
        <v>54</v>
      </c>
      <c r="C48" s="3197"/>
      <c r="D48" s="3197"/>
      <c r="E48" s="3182"/>
      <c r="F48" s="85">
        <v>100223</v>
      </c>
    </row>
    <row r="49" spans="1:9" ht="13.5" thickBot="1">
      <c r="A49" s="84">
        <v>11</v>
      </c>
      <c r="B49" s="36" t="s">
        <v>145</v>
      </c>
      <c r="C49" s="3197"/>
      <c r="D49" s="3197"/>
      <c r="E49" s="3182"/>
      <c r="F49" s="85">
        <v>53778</v>
      </c>
      <c r="I49" s="2"/>
    </row>
    <row r="50" spans="1:9" ht="15.75" thickBot="1">
      <c r="A50" s="3187" t="s">
        <v>14</v>
      </c>
      <c r="B50" s="3188"/>
      <c r="C50" s="3188"/>
      <c r="D50" s="3189"/>
      <c r="E50" s="65"/>
      <c r="F50" s="9">
        <f>SUM(F39:F49)</f>
        <v>1178228</v>
      </c>
      <c r="G50" s="2"/>
    </row>
    <row r="51" spans="1:9" ht="20.25" customHeight="1" thickBot="1">
      <c r="A51" s="3184" t="s">
        <v>13</v>
      </c>
      <c r="B51" s="3185"/>
      <c r="C51" s="3185"/>
      <c r="D51" s="3185"/>
      <c r="E51" s="3186"/>
      <c r="F51" s="8">
        <f>SUM(F50)</f>
        <v>1178228</v>
      </c>
      <c r="G51" s="2"/>
      <c r="H51" s="2"/>
    </row>
    <row r="53" spans="1:9">
      <c r="F53" s="2"/>
      <c r="G53" s="2"/>
      <c r="H53" s="2"/>
      <c r="I53" s="2"/>
    </row>
    <row r="54" spans="1:9">
      <c r="F54" s="2"/>
      <c r="G54" s="2"/>
      <c r="H54" s="2"/>
      <c r="I54" s="2"/>
    </row>
    <row r="55" spans="1:9">
      <c r="F55" s="2"/>
      <c r="G55" s="2"/>
      <c r="H55" s="2"/>
      <c r="I55" s="2"/>
    </row>
    <row r="56" spans="1:9">
      <c r="F56" s="2"/>
      <c r="G56" s="2"/>
      <c r="H56" s="2"/>
      <c r="I56" s="2"/>
    </row>
    <row r="57" spans="1:9">
      <c r="F57" s="2"/>
      <c r="G57" s="2"/>
      <c r="H57" s="2"/>
      <c r="I57" s="2"/>
    </row>
    <row r="58" spans="1:9">
      <c r="F58" s="2"/>
      <c r="G58" s="2"/>
      <c r="H58" s="2"/>
      <c r="I58" s="2"/>
    </row>
    <row r="59" spans="1:9">
      <c r="F59" s="2"/>
      <c r="G59" s="2"/>
      <c r="H59" s="2"/>
      <c r="I59" s="2"/>
    </row>
    <row r="60" spans="1:9">
      <c r="B60" s="7"/>
      <c r="F60" s="2"/>
      <c r="G60" s="2"/>
      <c r="H60" s="2"/>
      <c r="I60" s="2"/>
    </row>
    <row r="61" spans="1:9">
      <c r="B61" s="7"/>
    </row>
    <row r="62" spans="1:9">
      <c r="B62" s="7"/>
    </row>
  </sheetData>
  <mergeCells count="24">
    <mergeCell ref="A1:B1"/>
    <mergeCell ref="C1:F1"/>
    <mergeCell ref="A2:F2"/>
    <mergeCell ref="A4:F4"/>
    <mergeCell ref="C6:C23"/>
    <mergeCell ref="E6:E23"/>
    <mergeCell ref="A15:B15"/>
    <mergeCell ref="D16:D17"/>
    <mergeCell ref="A18:B18"/>
    <mergeCell ref="E25:E31"/>
    <mergeCell ref="D6:D14"/>
    <mergeCell ref="A51:E51"/>
    <mergeCell ref="A50:D50"/>
    <mergeCell ref="A24:D24"/>
    <mergeCell ref="A34:D34"/>
    <mergeCell ref="A35:D35"/>
    <mergeCell ref="A37:F37"/>
    <mergeCell ref="C39:C49"/>
    <mergeCell ref="D39:D49"/>
    <mergeCell ref="E39:E49"/>
    <mergeCell ref="A29:B29"/>
    <mergeCell ref="A32:D32"/>
    <mergeCell ref="C25:C31"/>
    <mergeCell ref="D25:D28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N58"/>
  <sheetViews>
    <sheetView view="pageBreakPreview" zoomScale="70" zoomScaleNormal="100" zoomScaleSheetLayoutView="70" workbookViewId="0">
      <selection activeCell="K3" sqref="K3"/>
    </sheetView>
  </sheetViews>
  <sheetFormatPr defaultRowHeight="12.75"/>
  <cols>
    <col min="1" max="1" width="6.28515625" style="1" customWidth="1"/>
    <col min="2" max="2" width="33.28515625" style="1" customWidth="1"/>
    <col min="3" max="3" width="9.140625" style="1"/>
    <col min="4" max="4" width="10.28515625" style="1" customWidth="1"/>
    <col min="5" max="8" width="13.7109375" style="1" customWidth="1"/>
    <col min="9" max="9" width="60.140625" style="1" customWidth="1"/>
    <col min="10" max="10" width="20.28515625" style="1" customWidth="1"/>
    <col min="11" max="11" width="16.140625" style="1" customWidth="1"/>
    <col min="12" max="256" width="9.140625" style="1"/>
    <col min="257" max="257" width="6.28515625" style="1" customWidth="1"/>
    <col min="258" max="258" width="34.42578125" style="1" customWidth="1"/>
    <col min="259" max="259" width="9.140625" style="1"/>
    <col min="260" max="260" width="10.28515625" style="1" customWidth="1"/>
    <col min="261" max="262" width="12.7109375" style="1" customWidth="1"/>
    <col min="263" max="263" width="11.85546875" style="1" customWidth="1"/>
    <col min="264" max="264" width="15.140625" style="1" customWidth="1"/>
    <col min="265" max="265" width="49" style="1" customWidth="1"/>
    <col min="266" max="512" width="9.140625" style="1"/>
    <col min="513" max="513" width="6.28515625" style="1" customWidth="1"/>
    <col min="514" max="514" width="34.42578125" style="1" customWidth="1"/>
    <col min="515" max="515" width="9.140625" style="1"/>
    <col min="516" max="516" width="10.28515625" style="1" customWidth="1"/>
    <col min="517" max="518" width="12.7109375" style="1" customWidth="1"/>
    <col min="519" max="519" width="11.85546875" style="1" customWidth="1"/>
    <col min="520" max="520" width="15.140625" style="1" customWidth="1"/>
    <col min="521" max="521" width="49" style="1" customWidth="1"/>
    <col min="522" max="768" width="9.140625" style="1"/>
    <col min="769" max="769" width="6.28515625" style="1" customWidth="1"/>
    <col min="770" max="770" width="34.42578125" style="1" customWidth="1"/>
    <col min="771" max="771" width="9.140625" style="1"/>
    <col min="772" max="772" width="10.28515625" style="1" customWidth="1"/>
    <col min="773" max="774" width="12.7109375" style="1" customWidth="1"/>
    <col min="775" max="775" width="11.85546875" style="1" customWidth="1"/>
    <col min="776" max="776" width="15.140625" style="1" customWidth="1"/>
    <col min="777" max="777" width="49" style="1" customWidth="1"/>
    <col min="778" max="1024" width="9.140625" style="1"/>
    <col min="1025" max="1025" width="6.28515625" style="1" customWidth="1"/>
    <col min="1026" max="1026" width="34.42578125" style="1" customWidth="1"/>
    <col min="1027" max="1027" width="9.140625" style="1"/>
    <col min="1028" max="1028" width="10.28515625" style="1" customWidth="1"/>
    <col min="1029" max="1030" width="12.7109375" style="1" customWidth="1"/>
    <col min="1031" max="1031" width="11.85546875" style="1" customWidth="1"/>
    <col min="1032" max="1032" width="15.140625" style="1" customWidth="1"/>
    <col min="1033" max="1033" width="49" style="1" customWidth="1"/>
    <col min="1034" max="1280" width="9.140625" style="1"/>
    <col min="1281" max="1281" width="6.28515625" style="1" customWidth="1"/>
    <col min="1282" max="1282" width="34.42578125" style="1" customWidth="1"/>
    <col min="1283" max="1283" width="9.140625" style="1"/>
    <col min="1284" max="1284" width="10.28515625" style="1" customWidth="1"/>
    <col min="1285" max="1286" width="12.7109375" style="1" customWidth="1"/>
    <col min="1287" max="1287" width="11.85546875" style="1" customWidth="1"/>
    <col min="1288" max="1288" width="15.140625" style="1" customWidth="1"/>
    <col min="1289" max="1289" width="49" style="1" customWidth="1"/>
    <col min="1290" max="1536" width="9.140625" style="1"/>
    <col min="1537" max="1537" width="6.28515625" style="1" customWidth="1"/>
    <col min="1538" max="1538" width="34.42578125" style="1" customWidth="1"/>
    <col min="1539" max="1539" width="9.140625" style="1"/>
    <col min="1540" max="1540" width="10.28515625" style="1" customWidth="1"/>
    <col min="1541" max="1542" width="12.7109375" style="1" customWidth="1"/>
    <col min="1543" max="1543" width="11.85546875" style="1" customWidth="1"/>
    <col min="1544" max="1544" width="15.140625" style="1" customWidth="1"/>
    <col min="1545" max="1545" width="49" style="1" customWidth="1"/>
    <col min="1546" max="1792" width="9.140625" style="1"/>
    <col min="1793" max="1793" width="6.28515625" style="1" customWidth="1"/>
    <col min="1794" max="1794" width="34.42578125" style="1" customWidth="1"/>
    <col min="1795" max="1795" width="9.140625" style="1"/>
    <col min="1796" max="1796" width="10.28515625" style="1" customWidth="1"/>
    <col min="1797" max="1798" width="12.7109375" style="1" customWidth="1"/>
    <col min="1799" max="1799" width="11.85546875" style="1" customWidth="1"/>
    <col min="1800" max="1800" width="15.140625" style="1" customWidth="1"/>
    <col min="1801" max="1801" width="49" style="1" customWidth="1"/>
    <col min="1802" max="2048" width="9.140625" style="1"/>
    <col min="2049" max="2049" width="6.28515625" style="1" customWidth="1"/>
    <col min="2050" max="2050" width="34.42578125" style="1" customWidth="1"/>
    <col min="2051" max="2051" width="9.140625" style="1"/>
    <col min="2052" max="2052" width="10.28515625" style="1" customWidth="1"/>
    <col min="2053" max="2054" width="12.7109375" style="1" customWidth="1"/>
    <col min="2055" max="2055" width="11.85546875" style="1" customWidth="1"/>
    <col min="2056" max="2056" width="15.140625" style="1" customWidth="1"/>
    <col min="2057" max="2057" width="49" style="1" customWidth="1"/>
    <col min="2058" max="2304" width="9.140625" style="1"/>
    <col min="2305" max="2305" width="6.28515625" style="1" customWidth="1"/>
    <col min="2306" max="2306" width="34.42578125" style="1" customWidth="1"/>
    <col min="2307" max="2307" width="9.140625" style="1"/>
    <col min="2308" max="2308" width="10.28515625" style="1" customWidth="1"/>
    <col min="2309" max="2310" width="12.7109375" style="1" customWidth="1"/>
    <col min="2311" max="2311" width="11.85546875" style="1" customWidth="1"/>
    <col min="2312" max="2312" width="15.140625" style="1" customWidth="1"/>
    <col min="2313" max="2313" width="49" style="1" customWidth="1"/>
    <col min="2314" max="2560" width="9.140625" style="1"/>
    <col min="2561" max="2561" width="6.28515625" style="1" customWidth="1"/>
    <col min="2562" max="2562" width="34.42578125" style="1" customWidth="1"/>
    <col min="2563" max="2563" width="9.140625" style="1"/>
    <col min="2564" max="2564" width="10.28515625" style="1" customWidth="1"/>
    <col min="2565" max="2566" width="12.7109375" style="1" customWidth="1"/>
    <col min="2567" max="2567" width="11.85546875" style="1" customWidth="1"/>
    <col min="2568" max="2568" width="15.140625" style="1" customWidth="1"/>
    <col min="2569" max="2569" width="49" style="1" customWidth="1"/>
    <col min="2570" max="2816" width="9.140625" style="1"/>
    <col min="2817" max="2817" width="6.28515625" style="1" customWidth="1"/>
    <col min="2818" max="2818" width="34.42578125" style="1" customWidth="1"/>
    <col min="2819" max="2819" width="9.140625" style="1"/>
    <col min="2820" max="2820" width="10.28515625" style="1" customWidth="1"/>
    <col min="2821" max="2822" width="12.7109375" style="1" customWidth="1"/>
    <col min="2823" max="2823" width="11.85546875" style="1" customWidth="1"/>
    <col min="2824" max="2824" width="15.140625" style="1" customWidth="1"/>
    <col min="2825" max="2825" width="49" style="1" customWidth="1"/>
    <col min="2826" max="3072" width="9.140625" style="1"/>
    <col min="3073" max="3073" width="6.28515625" style="1" customWidth="1"/>
    <col min="3074" max="3074" width="34.42578125" style="1" customWidth="1"/>
    <col min="3075" max="3075" width="9.140625" style="1"/>
    <col min="3076" max="3076" width="10.28515625" style="1" customWidth="1"/>
    <col min="3077" max="3078" width="12.7109375" style="1" customWidth="1"/>
    <col min="3079" max="3079" width="11.85546875" style="1" customWidth="1"/>
    <col min="3080" max="3080" width="15.140625" style="1" customWidth="1"/>
    <col min="3081" max="3081" width="49" style="1" customWidth="1"/>
    <col min="3082" max="3328" width="9.140625" style="1"/>
    <col min="3329" max="3329" width="6.28515625" style="1" customWidth="1"/>
    <col min="3330" max="3330" width="34.42578125" style="1" customWidth="1"/>
    <col min="3331" max="3331" width="9.140625" style="1"/>
    <col min="3332" max="3332" width="10.28515625" style="1" customWidth="1"/>
    <col min="3333" max="3334" width="12.7109375" style="1" customWidth="1"/>
    <col min="3335" max="3335" width="11.85546875" style="1" customWidth="1"/>
    <col min="3336" max="3336" width="15.140625" style="1" customWidth="1"/>
    <col min="3337" max="3337" width="49" style="1" customWidth="1"/>
    <col min="3338" max="3584" width="9.140625" style="1"/>
    <col min="3585" max="3585" width="6.28515625" style="1" customWidth="1"/>
    <col min="3586" max="3586" width="34.42578125" style="1" customWidth="1"/>
    <col min="3587" max="3587" width="9.140625" style="1"/>
    <col min="3588" max="3588" width="10.28515625" style="1" customWidth="1"/>
    <col min="3589" max="3590" width="12.7109375" style="1" customWidth="1"/>
    <col min="3591" max="3591" width="11.85546875" style="1" customWidth="1"/>
    <col min="3592" max="3592" width="15.140625" style="1" customWidth="1"/>
    <col min="3593" max="3593" width="49" style="1" customWidth="1"/>
    <col min="3594" max="3840" width="9.140625" style="1"/>
    <col min="3841" max="3841" width="6.28515625" style="1" customWidth="1"/>
    <col min="3842" max="3842" width="34.42578125" style="1" customWidth="1"/>
    <col min="3843" max="3843" width="9.140625" style="1"/>
    <col min="3844" max="3844" width="10.28515625" style="1" customWidth="1"/>
    <col min="3845" max="3846" width="12.7109375" style="1" customWidth="1"/>
    <col min="3847" max="3847" width="11.85546875" style="1" customWidth="1"/>
    <col min="3848" max="3848" width="15.140625" style="1" customWidth="1"/>
    <col min="3849" max="3849" width="49" style="1" customWidth="1"/>
    <col min="3850" max="4096" width="9.140625" style="1"/>
    <col min="4097" max="4097" width="6.28515625" style="1" customWidth="1"/>
    <col min="4098" max="4098" width="34.42578125" style="1" customWidth="1"/>
    <col min="4099" max="4099" width="9.140625" style="1"/>
    <col min="4100" max="4100" width="10.28515625" style="1" customWidth="1"/>
    <col min="4101" max="4102" width="12.7109375" style="1" customWidth="1"/>
    <col min="4103" max="4103" width="11.85546875" style="1" customWidth="1"/>
    <col min="4104" max="4104" width="15.140625" style="1" customWidth="1"/>
    <col min="4105" max="4105" width="49" style="1" customWidth="1"/>
    <col min="4106" max="4352" width="9.140625" style="1"/>
    <col min="4353" max="4353" width="6.28515625" style="1" customWidth="1"/>
    <col min="4354" max="4354" width="34.42578125" style="1" customWidth="1"/>
    <col min="4355" max="4355" width="9.140625" style="1"/>
    <col min="4356" max="4356" width="10.28515625" style="1" customWidth="1"/>
    <col min="4357" max="4358" width="12.7109375" style="1" customWidth="1"/>
    <col min="4359" max="4359" width="11.85546875" style="1" customWidth="1"/>
    <col min="4360" max="4360" width="15.140625" style="1" customWidth="1"/>
    <col min="4361" max="4361" width="49" style="1" customWidth="1"/>
    <col min="4362" max="4608" width="9.140625" style="1"/>
    <col min="4609" max="4609" width="6.28515625" style="1" customWidth="1"/>
    <col min="4610" max="4610" width="34.42578125" style="1" customWidth="1"/>
    <col min="4611" max="4611" width="9.140625" style="1"/>
    <col min="4612" max="4612" width="10.28515625" style="1" customWidth="1"/>
    <col min="4613" max="4614" width="12.7109375" style="1" customWidth="1"/>
    <col min="4615" max="4615" width="11.85546875" style="1" customWidth="1"/>
    <col min="4616" max="4616" width="15.140625" style="1" customWidth="1"/>
    <col min="4617" max="4617" width="49" style="1" customWidth="1"/>
    <col min="4618" max="4864" width="9.140625" style="1"/>
    <col min="4865" max="4865" width="6.28515625" style="1" customWidth="1"/>
    <col min="4866" max="4866" width="34.42578125" style="1" customWidth="1"/>
    <col min="4867" max="4867" width="9.140625" style="1"/>
    <col min="4868" max="4868" width="10.28515625" style="1" customWidth="1"/>
    <col min="4869" max="4870" width="12.7109375" style="1" customWidth="1"/>
    <col min="4871" max="4871" width="11.85546875" style="1" customWidth="1"/>
    <col min="4872" max="4872" width="15.140625" style="1" customWidth="1"/>
    <col min="4873" max="4873" width="49" style="1" customWidth="1"/>
    <col min="4874" max="5120" width="9.140625" style="1"/>
    <col min="5121" max="5121" width="6.28515625" style="1" customWidth="1"/>
    <col min="5122" max="5122" width="34.42578125" style="1" customWidth="1"/>
    <col min="5123" max="5123" width="9.140625" style="1"/>
    <col min="5124" max="5124" width="10.28515625" style="1" customWidth="1"/>
    <col min="5125" max="5126" width="12.7109375" style="1" customWidth="1"/>
    <col min="5127" max="5127" width="11.85546875" style="1" customWidth="1"/>
    <col min="5128" max="5128" width="15.140625" style="1" customWidth="1"/>
    <col min="5129" max="5129" width="49" style="1" customWidth="1"/>
    <col min="5130" max="5376" width="9.140625" style="1"/>
    <col min="5377" max="5377" width="6.28515625" style="1" customWidth="1"/>
    <col min="5378" max="5378" width="34.42578125" style="1" customWidth="1"/>
    <col min="5379" max="5379" width="9.140625" style="1"/>
    <col min="5380" max="5380" width="10.28515625" style="1" customWidth="1"/>
    <col min="5381" max="5382" width="12.7109375" style="1" customWidth="1"/>
    <col min="5383" max="5383" width="11.85546875" style="1" customWidth="1"/>
    <col min="5384" max="5384" width="15.140625" style="1" customWidth="1"/>
    <col min="5385" max="5385" width="49" style="1" customWidth="1"/>
    <col min="5386" max="5632" width="9.140625" style="1"/>
    <col min="5633" max="5633" width="6.28515625" style="1" customWidth="1"/>
    <col min="5634" max="5634" width="34.42578125" style="1" customWidth="1"/>
    <col min="5635" max="5635" width="9.140625" style="1"/>
    <col min="5636" max="5636" width="10.28515625" style="1" customWidth="1"/>
    <col min="5637" max="5638" width="12.7109375" style="1" customWidth="1"/>
    <col min="5639" max="5639" width="11.85546875" style="1" customWidth="1"/>
    <col min="5640" max="5640" width="15.140625" style="1" customWidth="1"/>
    <col min="5641" max="5641" width="49" style="1" customWidth="1"/>
    <col min="5642" max="5888" width="9.140625" style="1"/>
    <col min="5889" max="5889" width="6.28515625" style="1" customWidth="1"/>
    <col min="5890" max="5890" width="34.42578125" style="1" customWidth="1"/>
    <col min="5891" max="5891" width="9.140625" style="1"/>
    <col min="5892" max="5892" width="10.28515625" style="1" customWidth="1"/>
    <col min="5893" max="5894" width="12.7109375" style="1" customWidth="1"/>
    <col min="5895" max="5895" width="11.85546875" style="1" customWidth="1"/>
    <col min="5896" max="5896" width="15.140625" style="1" customWidth="1"/>
    <col min="5897" max="5897" width="49" style="1" customWidth="1"/>
    <col min="5898" max="6144" width="9.140625" style="1"/>
    <col min="6145" max="6145" width="6.28515625" style="1" customWidth="1"/>
    <col min="6146" max="6146" width="34.42578125" style="1" customWidth="1"/>
    <col min="6147" max="6147" width="9.140625" style="1"/>
    <col min="6148" max="6148" width="10.28515625" style="1" customWidth="1"/>
    <col min="6149" max="6150" width="12.7109375" style="1" customWidth="1"/>
    <col min="6151" max="6151" width="11.85546875" style="1" customWidth="1"/>
    <col min="6152" max="6152" width="15.140625" style="1" customWidth="1"/>
    <col min="6153" max="6153" width="49" style="1" customWidth="1"/>
    <col min="6154" max="6400" width="9.140625" style="1"/>
    <col min="6401" max="6401" width="6.28515625" style="1" customWidth="1"/>
    <col min="6402" max="6402" width="34.42578125" style="1" customWidth="1"/>
    <col min="6403" max="6403" width="9.140625" style="1"/>
    <col min="6404" max="6404" width="10.28515625" style="1" customWidth="1"/>
    <col min="6405" max="6406" width="12.7109375" style="1" customWidth="1"/>
    <col min="6407" max="6407" width="11.85546875" style="1" customWidth="1"/>
    <col min="6408" max="6408" width="15.140625" style="1" customWidth="1"/>
    <col min="6409" max="6409" width="49" style="1" customWidth="1"/>
    <col min="6410" max="6656" width="9.140625" style="1"/>
    <col min="6657" max="6657" width="6.28515625" style="1" customWidth="1"/>
    <col min="6658" max="6658" width="34.42578125" style="1" customWidth="1"/>
    <col min="6659" max="6659" width="9.140625" style="1"/>
    <col min="6660" max="6660" width="10.28515625" style="1" customWidth="1"/>
    <col min="6661" max="6662" width="12.7109375" style="1" customWidth="1"/>
    <col min="6663" max="6663" width="11.85546875" style="1" customWidth="1"/>
    <col min="6664" max="6664" width="15.140625" style="1" customWidth="1"/>
    <col min="6665" max="6665" width="49" style="1" customWidth="1"/>
    <col min="6666" max="6912" width="9.140625" style="1"/>
    <col min="6913" max="6913" width="6.28515625" style="1" customWidth="1"/>
    <col min="6914" max="6914" width="34.42578125" style="1" customWidth="1"/>
    <col min="6915" max="6915" width="9.140625" style="1"/>
    <col min="6916" max="6916" width="10.28515625" style="1" customWidth="1"/>
    <col min="6917" max="6918" width="12.7109375" style="1" customWidth="1"/>
    <col min="6919" max="6919" width="11.85546875" style="1" customWidth="1"/>
    <col min="6920" max="6920" width="15.140625" style="1" customWidth="1"/>
    <col min="6921" max="6921" width="49" style="1" customWidth="1"/>
    <col min="6922" max="7168" width="9.140625" style="1"/>
    <col min="7169" max="7169" width="6.28515625" style="1" customWidth="1"/>
    <col min="7170" max="7170" width="34.42578125" style="1" customWidth="1"/>
    <col min="7171" max="7171" width="9.140625" style="1"/>
    <col min="7172" max="7172" width="10.28515625" style="1" customWidth="1"/>
    <col min="7173" max="7174" width="12.7109375" style="1" customWidth="1"/>
    <col min="7175" max="7175" width="11.85546875" style="1" customWidth="1"/>
    <col min="7176" max="7176" width="15.140625" style="1" customWidth="1"/>
    <col min="7177" max="7177" width="49" style="1" customWidth="1"/>
    <col min="7178" max="7424" width="9.140625" style="1"/>
    <col min="7425" max="7425" width="6.28515625" style="1" customWidth="1"/>
    <col min="7426" max="7426" width="34.42578125" style="1" customWidth="1"/>
    <col min="7427" max="7427" width="9.140625" style="1"/>
    <col min="7428" max="7428" width="10.28515625" style="1" customWidth="1"/>
    <col min="7429" max="7430" width="12.7109375" style="1" customWidth="1"/>
    <col min="7431" max="7431" width="11.85546875" style="1" customWidth="1"/>
    <col min="7432" max="7432" width="15.140625" style="1" customWidth="1"/>
    <col min="7433" max="7433" width="49" style="1" customWidth="1"/>
    <col min="7434" max="7680" width="9.140625" style="1"/>
    <col min="7681" max="7681" width="6.28515625" style="1" customWidth="1"/>
    <col min="7682" max="7682" width="34.42578125" style="1" customWidth="1"/>
    <col min="7683" max="7683" width="9.140625" style="1"/>
    <col min="7684" max="7684" width="10.28515625" style="1" customWidth="1"/>
    <col min="7685" max="7686" width="12.7109375" style="1" customWidth="1"/>
    <col min="7687" max="7687" width="11.85546875" style="1" customWidth="1"/>
    <col min="7688" max="7688" width="15.140625" style="1" customWidth="1"/>
    <col min="7689" max="7689" width="49" style="1" customWidth="1"/>
    <col min="7690" max="7936" width="9.140625" style="1"/>
    <col min="7937" max="7937" width="6.28515625" style="1" customWidth="1"/>
    <col min="7938" max="7938" width="34.42578125" style="1" customWidth="1"/>
    <col min="7939" max="7939" width="9.140625" style="1"/>
    <col min="7940" max="7940" width="10.28515625" style="1" customWidth="1"/>
    <col min="7941" max="7942" width="12.7109375" style="1" customWidth="1"/>
    <col min="7943" max="7943" width="11.85546875" style="1" customWidth="1"/>
    <col min="7944" max="7944" width="15.140625" style="1" customWidth="1"/>
    <col min="7945" max="7945" width="49" style="1" customWidth="1"/>
    <col min="7946" max="8192" width="9.140625" style="1"/>
    <col min="8193" max="8193" width="6.28515625" style="1" customWidth="1"/>
    <col min="8194" max="8194" width="34.42578125" style="1" customWidth="1"/>
    <col min="8195" max="8195" width="9.140625" style="1"/>
    <col min="8196" max="8196" width="10.28515625" style="1" customWidth="1"/>
    <col min="8197" max="8198" width="12.7109375" style="1" customWidth="1"/>
    <col min="8199" max="8199" width="11.85546875" style="1" customWidth="1"/>
    <col min="8200" max="8200" width="15.140625" style="1" customWidth="1"/>
    <col min="8201" max="8201" width="49" style="1" customWidth="1"/>
    <col min="8202" max="8448" width="9.140625" style="1"/>
    <col min="8449" max="8449" width="6.28515625" style="1" customWidth="1"/>
    <col min="8450" max="8450" width="34.42578125" style="1" customWidth="1"/>
    <col min="8451" max="8451" width="9.140625" style="1"/>
    <col min="8452" max="8452" width="10.28515625" style="1" customWidth="1"/>
    <col min="8453" max="8454" width="12.7109375" style="1" customWidth="1"/>
    <col min="8455" max="8455" width="11.85546875" style="1" customWidth="1"/>
    <col min="8456" max="8456" width="15.140625" style="1" customWidth="1"/>
    <col min="8457" max="8457" width="49" style="1" customWidth="1"/>
    <col min="8458" max="8704" width="9.140625" style="1"/>
    <col min="8705" max="8705" width="6.28515625" style="1" customWidth="1"/>
    <col min="8706" max="8706" width="34.42578125" style="1" customWidth="1"/>
    <col min="8707" max="8707" width="9.140625" style="1"/>
    <col min="8708" max="8708" width="10.28515625" style="1" customWidth="1"/>
    <col min="8709" max="8710" width="12.7109375" style="1" customWidth="1"/>
    <col min="8711" max="8711" width="11.85546875" style="1" customWidth="1"/>
    <col min="8712" max="8712" width="15.140625" style="1" customWidth="1"/>
    <col min="8713" max="8713" width="49" style="1" customWidth="1"/>
    <col min="8714" max="8960" width="9.140625" style="1"/>
    <col min="8961" max="8961" width="6.28515625" style="1" customWidth="1"/>
    <col min="8962" max="8962" width="34.42578125" style="1" customWidth="1"/>
    <col min="8963" max="8963" width="9.140625" style="1"/>
    <col min="8964" max="8964" width="10.28515625" style="1" customWidth="1"/>
    <col min="8965" max="8966" width="12.7109375" style="1" customWidth="1"/>
    <col min="8967" max="8967" width="11.85546875" style="1" customWidth="1"/>
    <col min="8968" max="8968" width="15.140625" style="1" customWidth="1"/>
    <col min="8969" max="8969" width="49" style="1" customWidth="1"/>
    <col min="8970" max="9216" width="9.140625" style="1"/>
    <col min="9217" max="9217" width="6.28515625" style="1" customWidth="1"/>
    <col min="9218" max="9218" width="34.42578125" style="1" customWidth="1"/>
    <col min="9219" max="9219" width="9.140625" style="1"/>
    <col min="9220" max="9220" width="10.28515625" style="1" customWidth="1"/>
    <col min="9221" max="9222" width="12.7109375" style="1" customWidth="1"/>
    <col min="9223" max="9223" width="11.85546875" style="1" customWidth="1"/>
    <col min="9224" max="9224" width="15.140625" style="1" customWidth="1"/>
    <col min="9225" max="9225" width="49" style="1" customWidth="1"/>
    <col min="9226" max="9472" width="9.140625" style="1"/>
    <col min="9473" max="9473" width="6.28515625" style="1" customWidth="1"/>
    <col min="9474" max="9474" width="34.42578125" style="1" customWidth="1"/>
    <col min="9475" max="9475" width="9.140625" style="1"/>
    <col min="9476" max="9476" width="10.28515625" style="1" customWidth="1"/>
    <col min="9477" max="9478" width="12.7109375" style="1" customWidth="1"/>
    <col min="9479" max="9479" width="11.85546875" style="1" customWidth="1"/>
    <col min="9480" max="9480" width="15.140625" style="1" customWidth="1"/>
    <col min="9481" max="9481" width="49" style="1" customWidth="1"/>
    <col min="9482" max="9728" width="9.140625" style="1"/>
    <col min="9729" max="9729" width="6.28515625" style="1" customWidth="1"/>
    <col min="9730" max="9730" width="34.42578125" style="1" customWidth="1"/>
    <col min="9731" max="9731" width="9.140625" style="1"/>
    <col min="9732" max="9732" width="10.28515625" style="1" customWidth="1"/>
    <col min="9733" max="9734" width="12.7109375" style="1" customWidth="1"/>
    <col min="9735" max="9735" width="11.85546875" style="1" customWidth="1"/>
    <col min="9736" max="9736" width="15.140625" style="1" customWidth="1"/>
    <col min="9737" max="9737" width="49" style="1" customWidth="1"/>
    <col min="9738" max="9984" width="9.140625" style="1"/>
    <col min="9985" max="9985" width="6.28515625" style="1" customWidth="1"/>
    <col min="9986" max="9986" width="34.42578125" style="1" customWidth="1"/>
    <col min="9987" max="9987" width="9.140625" style="1"/>
    <col min="9988" max="9988" width="10.28515625" style="1" customWidth="1"/>
    <col min="9989" max="9990" width="12.7109375" style="1" customWidth="1"/>
    <col min="9991" max="9991" width="11.85546875" style="1" customWidth="1"/>
    <col min="9992" max="9992" width="15.140625" style="1" customWidth="1"/>
    <col min="9993" max="9993" width="49" style="1" customWidth="1"/>
    <col min="9994" max="10240" width="9.140625" style="1"/>
    <col min="10241" max="10241" width="6.28515625" style="1" customWidth="1"/>
    <col min="10242" max="10242" width="34.42578125" style="1" customWidth="1"/>
    <col min="10243" max="10243" width="9.140625" style="1"/>
    <col min="10244" max="10244" width="10.28515625" style="1" customWidth="1"/>
    <col min="10245" max="10246" width="12.7109375" style="1" customWidth="1"/>
    <col min="10247" max="10247" width="11.85546875" style="1" customWidth="1"/>
    <col min="10248" max="10248" width="15.140625" style="1" customWidth="1"/>
    <col min="10249" max="10249" width="49" style="1" customWidth="1"/>
    <col min="10250" max="10496" width="9.140625" style="1"/>
    <col min="10497" max="10497" width="6.28515625" style="1" customWidth="1"/>
    <col min="10498" max="10498" width="34.42578125" style="1" customWidth="1"/>
    <col min="10499" max="10499" width="9.140625" style="1"/>
    <col min="10500" max="10500" width="10.28515625" style="1" customWidth="1"/>
    <col min="10501" max="10502" width="12.7109375" style="1" customWidth="1"/>
    <col min="10503" max="10503" width="11.85546875" style="1" customWidth="1"/>
    <col min="10504" max="10504" width="15.140625" style="1" customWidth="1"/>
    <col min="10505" max="10505" width="49" style="1" customWidth="1"/>
    <col min="10506" max="10752" width="9.140625" style="1"/>
    <col min="10753" max="10753" width="6.28515625" style="1" customWidth="1"/>
    <col min="10754" max="10754" width="34.42578125" style="1" customWidth="1"/>
    <col min="10755" max="10755" width="9.140625" style="1"/>
    <col min="10756" max="10756" width="10.28515625" style="1" customWidth="1"/>
    <col min="10757" max="10758" width="12.7109375" style="1" customWidth="1"/>
    <col min="10759" max="10759" width="11.85546875" style="1" customWidth="1"/>
    <col min="10760" max="10760" width="15.140625" style="1" customWidth="1"/>
    <col min="10761" max="10761" width="49" style="1" customWidth="1"/>
    <col min="10762" max="11008" width="9.140625" style="1"/>
    <col min="11009" max="11009" width="6.28515625" style="1" customWidth="1"/>
    <col min="11010" max="11010" width="34.42578125" style="1" customWidth="1"/>
    <col min="11011" max="11011" width="9.140625" style="1"/>
    <col min="11012" max="11012" width="10.28515625" style="1" customWidth="1"/>
    <col min="11013" max="11014" width="12.7109375" style="1" customWidth="1"/>
    <col min="11015" max="11015" width="11.85546875" style="1" customWidth="1"/>
    <col min="11016" max="11016" width="15.140625" style="1" customWidth="1"/>
    <col min="11017" max="11017" width="49" style="1" customWidth="1"/>
    <col min="11018" max="11264" width="9.140625" style="1"/>
    <col min="11265" max="11265" width="6.28515625" style="1" customWidth="1"/>
    <col min="11266" max="11266" width="34.42578125" style="1" customWidth="1"/>
    <col min="11267" max="11267" width="9.140625" style="1"/>
    <col min="11268" max="11268" width="10.28515625" style="1" customWidth="1"/>
    <col min="11269" max="11270" width="12.7109375" style="1" customWidth="1"/>
    <col min="11271" max="11271" width="11.85546875" style="1" customWidth="1"/>
    <col min="11272" max="11272" width="15.140625" style="1" customWidth="1"/>
    <col min="11273" max="11273" width="49" style="1" customWidth="1"/>
    <col min="11274" max="11520" width="9.140625" style="1"/>
    <col min="11521" max="11521" width="6.28515625" style="1" customWidth="1"/>
    <col min="11522" max="11522" width="34.42578125" style="1" customWidth="1"/>
    <col min="11523" max="11523" width="9.140625" style="1"/>
    <col min="11524" max="11524" width="10.28515625" style="1" customWidth="1"/>
    <col min="11525" max="11526" width="12.7109375" style="1" customWidth="1"/>
    <col min="11527" max="11527" width="11.85546875" style="1" customWidth="1"/>
    <col min="11528" max="11528" width="15.140625" style="1" customWidth="1"/>
    <col min="11529" max="11529" width="49" style="1" customWidth="1"/>
    <col min="11530" max="11776" width="9.140625" style="1"/>
    <col min="11777" max="11777" width="6.28515625" style="1" customWidth="1"/>
    <col min="11778" max="11778" width="34.42578125" style="1" customWidth="1"/>
    <col min="11779" max="11779" width="9.140625" style="1"/>
    <col min="11780" max="11780" width="10.28515625" style="1" customWidth="1"/>
    <col min="11781" max="11782" width="12.7109375" style="1" customWidth="1"/>
    <col min="11783" max="11783" width="11.85546875" style="1" customWidth="1"/>
    <col min="11784" max="11784" width="15.140625" style="1" customWidth="1"/>
    <col min="11785" max="11785" width="49" style="1" customWidth="1"/>
    <col min="11786" max="12032" width="9.140625" style="1"/>
    <col min="12033" max="12033" width="6.28515625" style="1" customWidth="1"/>
    <col min="12034" max="12034" width="34.42578125" style="1" customWidth="1"/>
    <col min="12035" max="12035" width="9.140625" style="1"/>
    <col min="12036" max="12036" width="10.28515625" style="1" customWidth="1"/>
    <col min="12037" max="12038" width="12.7109375" style="1" customWidth="1"/>
    <col min="12039" max="12039" width="11.85546875" style="1" customWidth="1"/>
    <col min="12040" max="12040" width="15.140625" style="1" customWidth="1"/>
    <col min="12041" max="12041" width="49" style="1" customWidth="1"/>
    <col min="12042" max="12288" width="9.140625" style="1"/>
    <col min="12289" max="12289" width="6.28515625" style="1" customWidth="1"/>
    <col min="12290" max="12290" width="34.42578125" style="1" customWidth="1"/>
    <col min="12291" max="12291" width="9.140625" style="1"/>
    <col min="12292" max="12292" width="10.28515625" style="1" customWidth="1"/>
    <col min="12293" max="12294" width="12.7109375" style="1" customWidth="1"/>
    <col min="12295" max="12295" width="11.85546875" style="1" customWidth="1"/>
    <col min="12296" max="12296" width="15.140625" style="1" customWidth="1"/>
    <col min="12297" max="12297" width="49" style="1" customWidth="1"/>
    <col min="12298" max="12544" width="9.140625" style="1"/>
    <col min="12545" max="12545" width="6.28515625" style="1" customWidth="1"/>
    <col min="12546" max="12546" width="34.42578125" style="1" customWidth="1"/>
    <col min="12547" max="12547" width="9.140625" style="1"/>
    <col min="12548" max="12548" width="10.28515625" style="1" customWidth="1"/>
    <col min="12549" max="12550" width="12.7109375" style="1" customWidth="1"/>
    <col min="12551" max="12551" width="11.85546875" style="1" customWidth="1"/>
    <col min="12552" max="12552" width="15.140625" style="1" customWidth="1"/>
    <col min="12553" max="12553" width="49" style="1" customWidth="1"/>
    <col min="12554" max="12800" width="9.140625" style="1"/>
    <col min="12801" max="12801" width="6.28515625" style="1" customWidth="1"/>
    <col min="12802" max="12802" width="34.42578125" style="1" customWidth="1"/>
    <col min="12803" max="12803" width="9.140625" style="1"/>
    <col min="12804" max="12804" width="10.28515625" style="1" customWidth="1"/>
    <col min="12805" max="12806" width="12.7109375" style="1" customWidth="1"/>
    <col min="12807" max="12807" width="11.85546875" style="1" customWidth="1"/>
    <col min="12808" max="12808" width="15.140625" style="1" customWidth="1"/>
    <col min="12809" max="12809" width="49" style="1" customWidth="1"/>
    <col min="12810" max="13056" width="9.140625" style="1"/>
    <col min="13057" max="13057" width="6.28515625" style="1" customWidth="1"/>
    <col min="13058" max="13058" width="34.42578125" style="1" customWidth="1"/>
    <col min="13059" max="13059" width="9.140625" style="1"/>
    <col min="13060" max="13060" width="10.28515625" style="1" customWidth="1"/>
    <col min="13061" max="13062" width="12.7109375" style="1" customWidth="1"/>
    <col min="13063" max="13063" width="11.85546875" style="1" customWidth="1"/>
    <col min="13064" max="13064" width="15.140625" style="1" customWidth="1"/>
    <col min="13065" max="13065" width="49" style="1" customWidth="1"/>
    <col min="13066" max="13312" width="9.140625" style="1"/>
    <col min="13313" max="13313" width="6.28515625" style="1" customWidth="1"/>
    <col min="13314" max="13314" width="34.42578125" style="1" customWidth="1"/>
    <col min="13315" max="13315" width="9.140625" style="1"/>
    <col min="13316" max="13316" width="10.28515625" style="1" customWidth="1"/>
    <col min="13317" max="13318" width="12.7109375" style="1" customWidth="1"/>
    <col min="13319" max="13319" width="11.85546875" style="1" customWidth="1"/>
    <col min="13320" max="13320" width="15.140625" style="1" customWidth="1"/>
    <col min="13321" max="13321" width="49" style="1" customWidth="1"/>
    <col min="13322" max="13568" width="9.140625" style="1"/>
    <col min="13569" max="13569" width="6.28515625" style="1" customWidth="1"/>
    <col min="13570" max="13570" width="34.42578125" style="1" customWidth="1"/>
    <col min="13571" max="13571" width="9.140625" style="1"/>
    <col min="13572" max="13572" width="10.28515625" style="1" customWidth="1"/>
    <col min="13573" max="13574" width="12.7109375" style="1" customWidth="1"/>
    <col min="13575" max="13575" width="11.85546875" style="1" customWidth="1"/>
    <col min="13576" max="13576" width="15.140625" style="1" customWidth="1"/>
    <col min="13577" max="13577" width="49" style="1" customWidth="1"/>
    <col min="13578" max="13824" width="9.140625" style="1"/>
    <col min="13825" max="13825" width="6.28515625" style="1" customWidth="1"/>
    <col min="13826" max="13826" width="34.42578125" style="1" customWidth="1"/>
    <col min="13827" max="13827" width="9.140625" style="1"/>
    <col min="13828" max="13828" width="10.28515625" style="1" customWidth="1"/>
    <col min="13829" max="13830" width="12.7109375" style="1" customWidth="1"/>
    <col min="13831" max="13831" width="11.85546875" style="1" customWidth="1"/>
    <col min="13832" max="13832" width="15.140625" style="1" customWidth="1"/>
    <col min="13833" max="13833" width="49" style="1" customWidth="1"/>
    <col min="13834" max="14080" width="9.140625" style="1"/>
    <col min="14081" max="14081" width="6.28515625" style="1" customWidth="1"/>
    <col min="14082" max="14082" width="34.42578125" style="1" customWidth="1"/>
    <col min="14083" max="14083" width="9.140625" style="1"/>
    <col min="14084" max="14084" width="10.28515625" style="1" customWidth="1"/>
    <col min="14085" max="14086" width="12.7109375" style="1" customWidth="1"/>
    <col min="14087" max="14087" width="11.85546875" style="1" customWidth="1"/>
    <col min="14088" max="14088" width="15.140625" style="1" customWidth="1"/>
    <col min="14089" max="14089" width="49" style="1" customWidth="1"/>
    <col min="14090" max="14336" width="9.140625" style="1"/>
    <col min="14337" max="14337" width="6.28515625" style="1" customWidth="1"/>
    <col min="14338" max="14338" width="34.42578125" style="1" customWidth="1"/>
    <col min="14339" max="14339" width="9.140625" style="1"/>
    <col min="14340" max="14340" width="10.28515625" style="1" customWidth="1"/>
    <col min="14341" max="14342" width="12.7109375" style="1" customWidth="1"/>
    <col min="14343" max="14343" width="11.85546875" style="1" customWidth="1"/>
    <col min="14344" max="14344" width="15.140625" style="1" customWidth="1"/>
    <col min="14345" max="14345" width="49" style="1" customWidth="1"/>
    <col min="14346" max="14592" width="9.140625" style="1"/>
    <col min="14593" max="14593" width="6.28515625" style="1" customWidth="1"/>
    <col min="14594" max="14594" width="34.42578125" style="1" customWidth="1"/>
    <col min="14595" max="14595" width="9.140625" style="1"/>
    <col min="14596" max="14596" width="10.28515625" style="1" customWidth="1"/>
    <col min="14597" max="14598" width="12.7109375" style="1" customWidth="1"/>
    <col min="14599" max="14599" width="11.85546875" style="1" customWidth="1"/>
    <col min="14600" max="14600" width="15.140625" style="1" customWidth="1"/>
    <col min="14601" max="14601" width="49" style="1" customWidth="1"/>
    <col min="14602" max="14848" width="9.140625" style="1"/>
    <col min="14849" max="14849" width="6.28515625" style="1" customWidth="1"/>
    <col min="14850" max="14850" width="34.42578125" style="1" customWidth="1"/>
    <col min="14851" max="14851" width="9.140625" style="1"/>
    <col min="14852" max="14852" width="10.28515625" style="1" customWidth="1"/>
    <col min="14853" max="14854" width="12.7109375" style="1" customWidth="1"/>
    <col min="14855" max="14855" width="11.85546875" style="1" customWidth="1"/>
    <col min="14856" max="14856" width="15.140625" style="1" customWidth="1"/>
    <col min="14857" max="14857" width="49" style="1" customWidth="1"/>
    <col min="14858" max="15104" width="9.140625" style="1"/>
    <col min="15105" max="15105" width="6.28515625" style="1" customWidth="1"/>
    <col min="15106" max="15106" width="34.42578125" style="1" customWidth="1"/>
    <col min="15107" max="15107" width="9.140625" style="1"/>
    <col min="15108" max="15108" width="10.28515625" style="1" customWidth="1"/>
    <col min="15109" max="15110" width="12.7109375" style="1" customWidth="1"/>
    <col min="15111" max="15111" width="11.85546875" style="1" customWidth="1"/>
    <col min="15112" max="15112" width="15.140625" style="1" customWidth="1"/>
    <col min="15113" max="15113" width="49" style="1" customWidth="1"/>
    <col min="15114" max="15360" width="9.140625" style="1"/>
    <col min="15361" max="15361" width="6.28515625" style="1" customWidth="1"/>
    <col min="15362" max="15362" width="34.42578125" style="1" customWidth="1"/>
    <col min="15363" max="15363" width="9.140625" style="1"/>
    <col min="15364" max="15364" width="10.28515625" style="1" customWidth="1"/>
    <col min="15365" max="15366" width="12.7109375" style="1" customWidth="1"/>
    <col min="15367" max="15367" width="11.85546875" style="1" customWidth="1"/>
    <col min="15368" max="15368" width="15.140625" style="1" customWidth="1"/>
    <col min="15369" max="15369" width="49" style="1" customWidth="1"/>
    <col min="15370" max="15616" width="9.140625" style="1"/>
    <col min="15617" max="15617" width="6.28515625" style="1" customWidth="1"/>
    <col min="15618" max="15618" width="34.42578125" style="1" customWidth="1"/>
    <col min="15619" max="15619" width="9.140625" style="1"/>
    <col min="15620" max="15620" width="10.28515625" style="1" customWidth="1"/>
    <col min="15621" max="15622" width="12.7109375" style="1" customWidth="1"/>
    <col min="15623" max="15623" width="11.85546875" style="1" customWidth="1"/>
    <col min="15624" max="15624" width="15.140625" style="1" customWidth="1"/>
    <col min="15625" max="15625" width="49" style="1" customWidth="1"/>
    <col min="15626" max="15872" width="9.140625" style="1"/>
    <col min="15873" max="15873" width="6.28515625" style="1" customWidth="1"/>
    <col min="15874" max="15874" width="34.42578125" style="1" customWidth="1"/>
    <col min="15875" max="15875" width="9.140625" style="1"/>
    <col min="15876" max="15876" width="10.28515625" style="1" customWidth="1"/>
    <col min="15877" max="15878" width="12.7109375" style="1" customWidth="1"/>
    <col min="15879" max="15879" width="11.85546875" style="1" customWidth="1"/>
    <col min="15880" max="15880" width="15.140625" style="1" customWidth="1"/>
    <col min="15881" max="15881" width="49" style="1" customWidth="1"/>
    <col min="15882" max="16128" width="9.140625" style="1"/>
    <col min="16129" max="16129" width="6.28515625" style="1" customWidth="1"/>
    <col min="16130" max="16130" width="34.42578125" style="1" customWidth="1"/>
    <col min="16131" max="16131" width="9.140625" style="1"/>
    <col min="16132" max="16132" width="10.28515625" style="1" customWidth="1"/>
    <col min="16133" max="16134" width="12.7109375" style="1" customWidth="1"/>
    <col min="16135" max="16135" width="11.85546875" style="1" customWidth="1"/>
    <col min="16136" max="16136" width="15.140625" style="1" customWidth="1"/>
    <col min="16137" max="16137" width="49" style="1" customWidth="1"/>
    <col min="16138" max="16384" width="9.140625" style="1"/>
  </cols>
  <sheetData>
    <row r="1" spans="1:10" ht="55.5" customHeight="1">
      <c r="A1" s="3203"/>
      <c r="B1" s="3203"/>
      <c r="C1" s="3257"/>
      <c r="D1" s="50"/>
      <c r="E1" s="50"/>
      <c r="F1" s="50"/>
      <c r="G1" s="50"/>
      <c r="H1" s="50"/>
      <c r="I1" s="49" t="s">
        <v>1226</v>
      </c>
    </row>
    <row r="2" spans="1:10" ht="38.25" customHeight="1">
      <c r="A2" s="3258" t="s">
        <v>84</v>
      </c>
      <c r="B2" s="3258"/>
      <c r="C2" s="3258"/>
      <c r="D2" s="3258"/>
      <c r="E2" s="3258"/>
      <c r="F2" s="3258"/>
      <c r="G2" s="3258"/>
      <c r="H2" s="3258"/>
      <c r="I2" s="3258"/>
    </row>
    <row r="3" spans="1:10" ht="27" customHeight="1" thickBot="1">
      <c r="A3" s="29"/>
      <c r="B3" s="29"/>
      <c r="C3" s="29"/>
      <c r="D3" s="29"/>
      <c r="E3" s="29"/>
      <c r="F3" s="29"/>
      <c r="G3" s="29"/>
      <c r="H3" s="29"/>
      <c r="I3" s="51" t="s">
        <v>46</v>
      </c>
    </row>
    <row r="4" spans="1:10" ht="21" customHeight="1" thickBot="1">
      <c r="A4" s="3190" t="s">
        <v>6</v>
      </c>
      <c r="B4" s="3259" t="s">
        <v>22</v>
      </c>
      <c r="C4" s="3259" t="s">
        <v>0</v>
      </c>
      <c r="D4" s="3259" t="s">
        <v>1</v>
      </c>
      <c r="E4" s="3260" t="s">
        <v>10</v>
      </c>
      <c r="F4" s="3261" t="s">
        <v>3</v>
      </c>
      <c r="G4" s="3261" t="s">
        <v>2</v>
      </c>
      <c r="H4" s="3262"/>
      <c r="I4" s="3263" t="s">
        <v>85</v>
      </c>
    </row>
    <row r="5" spans="1:10" ht="15" customHeight="1" thickBot="1">
      <c r="A5" s="3190"/>
      <c r="B5" s="3259"/>
      <c r="C5" s="3259"/>
      <c r="D5" s="3259"/>
      <c r="E5" s="3259"/>
      <c r="F5" s="3261"/>
      <c r="G5" s="3261" t="s">
        <v>8</v>
      </c>
      <c r="H5" s="3262" t="s">
        <v>7</v>
      </c>
      <c r="I5" s="3263"/>
    </row>
    <row r="6" spans="1:10" ht="28.5" customHeight="1" thickBot="1">
      <c r="A6" s="3190"/>
      <c r="B6" s="3259"/>
      <c r="C6" s="3259"/>
      <c r="D6" s="3259"/>
      <c r="E6" s="3259"/>
      <c r="F6" s="3261"/>
      <c r="G6" s="3261"/>
      <c r="H6" s="3262"/>
      <c r="I6" s="3263"/>
    </row>
    <row r="7" spans="1:10" ht="33.75" customHeight="1">
      <c r="A7" s="3248">
        <v>1</v>
      </c>
      <c r="B7" s="3239" t="s">
        <v>196</v>
      </c>
      <c r="C7" s="3254" t="s">
        <v>57</v>
      </c>
      <c r="D7" s="3254" t="s">
        <v>58</v>
      </c>
      <c r="E7" s="3227">
        <f>SUM(G7:H10)</f>
        <v>9130000</v>
      </c>
      <c r="F7" s="159">
        <v>2310</v>
      </c>
      <c r="G7" s="52">
        <v>3270000</v>
      </c>
      <c r="H7" s="163"/>
      <c r="I7" s="165" t="s">
        <v>126</v>
      </c>
    </row>
    <row r="8" spans="1:10" ht="38.25">
      <c r="A8" s="3249"/>
      <c r="B8" s="3240"/>
      <c r="C8" s="3255"/>
      <c r="D8" s="3255"/>
      <c r="E8" s="3228"/>
      <c r="F8" s="182">
        <v>2320</v>
      </c>
      <c r="G8" s="183">
        <v>80000</v>
      </c>
      <c r="H8" s="184"/>
      <c r="I8" s="185" t="s">
        <v>113</v>
      </c>
    </row>
    <row r="9" spans="1:10" ht="25.5">
      <c r="A9" s="3249"/>
      <c r="B9" s="3240"/>
      <c r="C9" s="3255"/>
      <c r="D9" s="3255"/>
      <c r="E9" s="3228"/>
      <c r="F9" s="182">
        <v>6610</v>
      </c>
      <c r="G9" s="183"/>
      <c r="H9" s="184">
        <v>5700000</v>
      </c>
      <c r="I9" s="185" t="s">
        <v>86</v>
      </c>
    </row>
    <row r="10" spans="1:10" ht="39" thickBot="1">
      <c r="A10" s="3250"/>
      <c r="B10" s="3240"/>
      <c r="C10" s="3256"/>
      <c r="D10" s="3256"/>
      <c r="E10" s="3229"/>
      <c r="F10" s="222">
        <v>6620</v>
      </c>
      <c r="G10" s="223"/>
      <c r="H10" s="224">
        <v>80000</v>
      </c>
      <c r="I10" s="197" t="s">
        <v>113</v>
      </c>
    </row>
    <row r="11" spans="1:10" ht="33.75" customHeight="1" thickBot="1">
      <c r="A11" s="234">
        <v>2</v>
      </c>
      <c r="B11" s="235" t="s">
        <v>87</v>
      </c>
      <c r="C11" s="3236" t="s">
        <v>64</v>
      </c>
      <c r="D11" s="236" t="s">
        <v>65</v>
      </c>
      <c r="E11" s="237">
        <f>SUM(G11:H11)</f>
        <v>350000</v>
      </c>
      <c r="F11" s="238">
        <v>6170</v>
      </c>
      <c r="G11" s="239"/>
      <c r="H11" s="240">
        <v>350000</v>
      </c>
      <c r="I11" s="241" t="s">
        <v>102</v>
      </c>
      <c r="J11" s="62"/>
    </row>
    <row r="12" spans="1:10" ht="44.25" customHeight="1" thickBot="1">
      <c r="A12" s="242">
        <v>3</v>
      </c>
      <c r="B12" s="243" t="s">
        <v>88</v>
      </c>
      <c r="C12" s="3237"/>
      <c r="D12" s="244" t="s">
        <v>66</v>
      </c>
      <c r="E12" s="245">
        <f>SUM(G12:H12)</f>
        <v>150000</v>
      </c>
      <c r="F12" s="246">
        <v>6170</v>
      </c>
      <c r="G12" s="247"/>
      <c r="H12" s="248">
        <v>150000</v>
      </c>
      <c r="I12" s="249" t="s">
        <v>89</v>
      </c>
      <c r="J12" s="62"/>
    </row>
    <row r="13" spans="1:10" ht="64.5" customHeight="1" thickBot="1">
      <c r="A13" s="234">
        <v>4</v>
      </c>
      <c r="B13" s="235" t="s">
        <v>90</v>
      </c>
      <c r="C13" s="3238"/>
      <c r="D13" s="236" t="s">
        <v>67</v>
      </c>
      <c r="E13" s="237">
        <f>SUM(G13:H13)</f>
        <v>500000</v>
      </c>
      <c r="F13" s="238">
        <v>6170</v>
      </c>
      <c r="G13" s="239"/>
      <c r="H13" s="240">
        <v>500000</v>
      </c>
      <c r="I13" s="241" t="s">
        <v>135</v>
      </c>
      <c r="J13" s="62"/>
    </row>
    <row r="14" spans="1:10" ht="45.75" customHeight="1" thickBot="1">
      <c r="A14" s="349">
        <v>5</v>
      </c>
      <c r="B14" s="350" t="s">
        <v>211</v>
      </c>
      <c r="C14" s="351" t="s">
        <v>208</v>
      </c>
      <c r="D14" s="351" t="s">
        <v>209</v>
      </c>
      <c r="E14" s="237">
        <f>SUM(G14:H14)</f>
        <v>350000</v>
      </c>
      <c r="F14" s="352">
        <v>6220</v>
      </c>
      <c r="G14" s="353"/>
      <c r="H14" s="354">
        <v>350000</v>
      </c>
      <c r="I14" s="355" t="s">
        <v>210</v>
      </c>
      <c r="J14" s="60"/>
    </row>
    <row r="15" spans="1:10" ht="123.75" customHeight="1" thickBot="1">
      <c r="A15" s="227">
        <v>6</v>
      </c>
      <c r="B15" s="228" t="s">
        <v>114</v>
      </c>
      <c r="C15" s="187">
        <v>851</v>
      </c>
      <c r="D15" s="283">
        <v>85111</v>
      </c>
      <c r="E15" s="229">
        <f>SUM(G15:H18)</f>
        <v>22304948</v>
      </c>
      <c r="F15" s="230">
        <v>6220</v>
      </c>
      <c r="G15" s="231"/>
      <c r="H15" s="232">
        <v>7006326</v>
      </c>
      <c r="I15" s="233" t="s">
        <v>137</v>
      </c>
      <c r="J15" s="60"/>
    </row>
    <row r="16" spans="1:10" ht="162.75" customHeight="1">
      <c r="A16" s="169">
        <v>7</v>
      </c>
      <c r="B16" s="170" t="s">
        <v>55</v>
      </c>
      <c r="C16" s="3221">
        <v>851</v>
      </c>
      <c r="D16" s="3221">
        <v>85111</v>
      </c>
      <c r="E16" s="3230" t="s">
        <v>125</v>
      </c>
      <c r="F16" s="159">
        <v>6220</v>
      </c>
      <c r="G16" s="52"/>
      <c r="H16" s="164">
        <v>10547460</v>
      </c>
      <c r="I16" s="165" t="s">
        <v>138</v>
      </c>
      <c r="J16" s="60"/>
    </row>
    <row r="17" spans="1:14" ht="70.5" customHeight="1" thickBot="1">
      <c r="A17" s="221">
        <v>8</v>
      </c>
      <c r="B17" s="225" t="s">
        <v>103</v>
      </c>
      <c r="C17" s="3222"/>
      <c r="D17" s="3222"/>
      <c r="E17" s="3231"/>
      <c r="F17" s="222">
        <v>6220</v>
      </c>
      <c r="G17" s="223"/>
      <c r="H17" s="226">
        <v>2426485</v>
      </c>
      <c r="I17" s="197" t="s">
        <v>139</v>
      </c>
      <c r="J17" s="149"/>
    </row>
    <row r="18" spans="1:14" ht="69" customHeight="1" thickBot="1">
      <c r="A18" s="217">
        <v>9</v>
      </c>
      <c r="B18" s="202" t="s">
        <v>104</v>
      </c>
      <c r="C18" s="3222"/>
      <c r="D18" s="3223"/>
      <c r="E18" s="3232"/>
      <c r="F18" s="218">
        <v>6220</v>
      </c>
      <c r="G18" s="219"/>
      <c r="H18" s="220">
        <v>2324677</v>
      </c>
      <c r="I18" s="216" t="s">
        <v>180</v>
      </c>
      <c r="J18" s="149"/>
    </row>
    <row r="19" spans="1:14" ht="46.5" customHeight="1" thickBot="1">
      <c r="A19" s="266">
        <v>10</v>
      </c>
      <c r="B19" s="285" t="s">
        <v>140</v>
      </c>
      <c r="C19" s="3222"/>
      <c r="D19" s="3221">
        <v>85120</v>
      </c>
      <c r="E19" s="3281">
        <f>SUM(G19:H20)</f>
        <v>2099340</v>
      </c>
      <c r="F19" s="218">
        <v>6220</v>
      </c>
      <c r="G19" s="219"/>
      <c r="H19" s="220">
        <v>1000000</v>
      </c>
      <c r="I19" s="216" t="s">
        <v>141</v>
      </c>
      <c r="J19" s="149"/>
    </row>
    <row r="20" spans="1:14" ht="50.25" customHeight="1" thickBot="1">
      <c r="A20" s="297">
        <v>11</v>
      </c>
      <c r="B20" s="265" t="s">
        <v>105</v>
      </c>
      <c r="C20" s="3222"/>
      <c r="D20" s="3223"/>
      <c r="E20" s="3282"/>
      <c r="F20" s="218">
        <v>6220</v>
      </c>
      <c r="G20" s="219"/>
      <c r="H20" s="220">
        <v>1099340</v>
      </c>
      <c r="I20" s="216" t="s">
        <v>147</v>
      </c>
      <c r="J20" s="149"/>
    </row>
    <row r="21" spans="1:14" ht="56.25" customHeight="1" thickBot="1">
      <c r="A21" s="286">
        <v>12</v>
      </c>
      <c r="B21" s="207" t="s">
        <v>83</v>
      </c>
      <c r="C21" s="3222"/>
      <c r="D21" s="282">
        <v>85121</v>
      </c>
      <c r="E21" s="208">
        <f t="shared" ref="E21:E27" si="0">SUM(G21:H21)</f>
        <v>312880</v>
      </c>
      <c r="F21" s="209">
        <v>6220</v>
      </c>
      <c r="G21" s="210"/>
      <c r="H21" s="211">
        <v>312880</v>
      </c>
      <c r="I21" s="212" t="s">
        <v>142</v>
      </c>
      <c r="J21" s="2"/>
      <c r="K21" s="105"/>
      <c r="L21" s="105"/>
      <c r="M21" s="105"/>
      <c r="N21" s="105"/>
    </row>
    <row r="22" spans="1:14" ht="54.75" customHeight="1" thickBot="1">
      <c r="A22" s="201">
        <v>13</v>
      </c>
      <c r="B22" s="213" t="s">
        <v>124</v>
      </c>
      <c r="C22" s="3222"/>
      <c r="D22" s="187">
        <v>85141</v>
      </c>
      <c r="E22" s="203">
        <v>50000</v>
      </c>
      <c r="F22" s="204">
        <v>6220</v>
      </c>
      <c r="G22" s="214"/>
      <c r="H22" s="215">
        <v>50000</v>
      </c>
      <c r="I22" s="216" t="s">
        <v>195</v>
      </c>
      <c r="J22" s="2"/>
      <c r="K22" s="105"/>
      <c r="L22" s="105"/>
      <c r="M22" s="105"/>
      <c r="N22" s="105"/>
    </row>
    <row r="23" spans="1:14" ht="47.25" customHeight="1" thickBot="1">
      <c r="A23" s="201">
        <v>14</v>
      </c>
      <c r="B23" s="213" t="s">
        <v>193</v>
      </c>
      <c r="C23" s="3222"/>
      <c r="D23" s="187">
        <v>85141</v>
      </c>
      <c r="E23" s="203">
        <v>2500000</v>
      </c>
      <c r="F23" s="204">
        <v>6220</v>
      </c>
      <c r="G23" s="300"/>
      <c r="H23" s="301">
        <v>2500000</v>
      </c>
      <c r="I23" s="216" t="s">
        <v>194</v>
      </c>
      <c r="J23" s="2"/>
      <c r="K23" s="105"/>
      <c r="L23" s="105"/>
      <c r="M23" s="105"/>
      <c r="N23" s="105"/>
    </row>
    <row r="24" spans="1:14" ht="47.25" customHeight="1" thickBot="1">
      <c r="A24" s="201">
        <v>15</v>
      </c>
      <c r="B24" s="213" t="s">
        <v>143</v>
      </c>
      <c r="C24" s="3223"/>
      <c r="D24" s="187">
        <v>85148</v>
      </c>
      <c r="E24" s="203">
        <f t="shared" si="0"/>
        <v>288000</v>
      </c>
      <c r="F24" s="204">
        <v>6220</v>
      </c>
      <c r="G24" s="214"/>
      <c r="H24" s="215">
        <v>288000</v>
      </c>
      <c r="I24" s="216" t="s">
        <v>144</v>
      </c>
      <c r="J24" s="2"/>
      <c r="K24" s="105"/>
      <c r="L24" s="105"/>
      <c r="M24" s="105"/>
      <c r="N24" s="105"/>
    </row>
    <row r="25" spans="1:14" ht="126.75" customHeight="1">
      <c r="A25" s="3251">
        <v>16</v>
      </c>
      <c r="B25" s="3268" t="s">
        <v>115</v>
      </c>
      <c r="C25" s="3221">
        <v>921</v>
      </c>
      <c r="D25" s="3221">
        <v>92106</v>
      </c>
      <c r="E25" s="162">
        <f t="shared" si="0"/>
        <v>800000</v>
      </c>
      <c r="F25" s="160">
        <v>2800</v>
      </c>
      <c r="G25" s="188">
        <v>800000</v>
      </c>
      <c r="H25" s="189"/>
      <c r="I25" s="190" t="s">
        <v>150</v>
      </c>
      <c r="K25" s="105"/>
      <c r="L25" s="105"/>
      <c r="M25" s="105"/>
      <c r="N25" s="105"/>
    </row>
    <row r="26" spans="1:14" ht="43.5" customHeight="1" thickBot="1">
      <c r="A26" s="3252"/>
      <c r="B26" s="3269"/>
      <c r="C26" s="3222"/>
      <c r="D26" s="3222"/>
      <c r="E26" s="195">
        <f t="shared" si="0"/>
        <v>3500000</v>
      </c>
      <c r="F26" s="196">
        <v>6220</v>
      </c>
      <c r="G26" s="198"/>
      <c r="H26" s="199">
        <v>3500000</v>
      </c>
      <c r="I26" s="200" t="s">
        <v>151</v>
      </c>
      <c r="K26" s="105"/>
      <c r="L26" s="105"/>
      <c r="M26" s="105"/>
      <c r="N26" s="105"/>
    </row>
    <row r="27" spans="1:14" ht="57.75" customHeight="1" thickBot="1">
      <c r="A27" s="201">
        <v>17</v>
      </c>
      <c r="B27" s="202" t="s">
        <v>91</v>
      </c>
      <c r="C27" s="3222"/>
      <c r="D27" s="187">
        <v>92108</v>
      </c>
      <c r="E27" s="203">
        <f t="shared" si="0"/>
        <v>550000</v>
      </c>
      <c r="F27" s="204">
        <v>2800</v>
      </c>
      <c r="G27" s="205">
        <v>550000</v>
      </c>
      <c r="H27" s="273"/>
      <c r="I27" s="206" t="s">
        <v>152</v>
      </c>
      <c r="K27" s="105"/>
      <c r="L27" s="105"/>
      <c r="M27" s="105"/>
      <c r="N27" s="105"/>
    </row>
    <row r="28" spans="1:14" ht="143.25" customHeight="1">
      <c r="A28" s="3251">
        <v>18</v>
      </c>
      <c r="B28" s="3268" t="s">
        <v>92</v>
      </c>
      <c r="C28" s="3222"/>
      <c r="D28" s="3221">
        <v>92109</v>
      </c>
      <c r="E28" s="3230">
        <f>SUM(G28:H31)</f>
        <v>1920000</v>
      </c>
      <c r="F28" s="193">
        <v>2800</v>
      </c>
      <c r="G28" s="188">
        <f>445000+300000</f>
        <v>745000</v>
      </c>
      <c r="H28" s="189"/>
      <c r="I28" s="190" t="s">
        <v>185</v>
      </c>
      <c r="J28" s="2"/>
      <c r="K28" s="105"/>
      <c r="L28" s="105"/>
      <c r="M28" s="105"/>
      <c r="N28" s="105"/>
    </row>
    <row r="29" spans="1:14" ht="79.5" customHeight="1" thickBot="1">
      <c r="A29" s="3253"/>
      <c r="B29" s="3273"/>
      <c r="C29" s="3223"/>
      <c r="D29" s="3223"/>
      <c r="E29" s="3232"/>
      <c r="F29" s="194">
        <v>6220</v>
      </c>
      <c r="G29" s="191"/>
      <c r="H29" s="192">
        <f>500000+80000+200000</f>
        <v>780000</v>
      </c>
      <c r="I29" s="166" t="s">
        <v>181</v>
      </c>
      <c r="K29" s="105"/>
      <c r="L29" s="105"/>
      <c r="M29" s="105"/>
      <c r="N29" s="105"/>
    </row>
    <row r="30" spans="1:14" ht="170.25" customHeight="1">
      <c r="A30" s="3241">
        <v>19</v>
      </c>
      <c r="B30" s="3264" t="s">
        <v>35</v>
      </c>
      <c r="C30" s="3221">
        <v>921</v>
      </c>
      <c r="D30" s="3221">
        <v>92109</v>
      </c>
      <c r="E30" s="3230" t="s">
        <v>125</v>
      </c>
      <c r="F30" s="161">
        <v>2800</v>
      </c>
      <c r="G30" s="158">
        <v>340000</v>
      </c>
      <c r="H30" s="274"/>
      <c r="I30" s="298" t="s">
        <v>177</v>
      </c>
      <c r="J30" s="2"/>
      <c r="K30" s="281">
        <f>SUM(G28,G30)</f>
        <v>1085000</v>
      </c>
      <c r="L30" s="105"/>
      <c r="M30" s="105"/>
      <c r="N30" s="105"/>
    </row>
    <row r="31" spans="1:14" ht="42" customHeight="1" thickBot="1">
      <c r="A31" s="3247"/>
      <c r="B31" s="3270"/>
      <c r="C31" s="3222"/>
      <c r="D31" s="3222"/>
      <c r="E31" s="3231"/>
      <c r="F31" s="309">
        <v>6220</v>
      </c>
      <c r="G31" s="310"/>
      <c r="H31" s="311">
        <v>55000</v>
      </c>
      <c r="I31" s="312" t="s">
        <v>182</v>
      </c>
      <c r="J31" s="2"/>
      <c r="K31" s="105"/>
      <c r="L31" s="105"/>
      <c r="M31" s="105"/>
      <c r="N31" s="105"/>
    </row>
    <row r="32" spans="1:14" ht="64.5" customHeight="1">
      <c r="A32" s="3241">
        <v>20</v>
      </c>
      <c r="B32" s="3271" t="s">
        <v>30</v>
      </c>
      <c r="C32" s="3222"/>
      <c r="D32" s="3243">
        <v>92114</v>
      </c>
      <c r="E32" s="3276">
        <f>SUM(G32:H33)</f>
        <v>1287159</v>
      </c>
      <c r="F32" s="313">
        <v>2800</v>
      </c>
      <c r="G32" s="314">
        <v>27000</v>
      </c>
      <c r="H32" s="315"/>
      <c r="I32" s="298" t="s">
        <v>153</v>
      </c>
      <c r="K32" s="105"/>
      <c r="L32" s="105"/>
      <c r="M32" s="105"/>
      <c r="N32" s="105"/>
    </row>
    <row r="33" spans="1:14" ht="113.25" customHeight="1" thickBot="1">
      <c r="A33" s="3242"/>
      <c r="B33" s="3272"/>
      <c r="C33" s="3222"/>
      <c r="D33" s="3244"/>
      <c r="E33" s="3277"/>
      <c r="F33" s="316">
        <v>6220</v>
      </c>
      <c r="G33" s="317"/>
      <c r="H33" s="318">
        <v>1260159</v>
      </c>
      <c r="I33" s="166" t="s">
        <v>154</v>
      </c>
      <c r="K33" s="105"/>
      <c r="L33" s="105"/>
      <c r="M33" s="105"/>
      <c r="N33" s="105"/>
    </row>
    <row r="34" spans="1:14" ht="63.75" customHeight="1">
      <c r="A34" s="3241">
        <v>21</v>
      </c>
      <c r="B34" s="3264" t="s">
        <v>93</v>
      </c>
      <c r="C34" s="3222"/>
      <c r="D34" s="3221">
        <v>92116</v>
      </c>
      <c r="E34" s="3226">
        <f>SUM(G34:H35)</f>
        <v>268970</v>
      </c>
      <c r="F34" s="313">
        <v>2800</v>
      </c>
      <c r="G34" s="314">
        <v>103000</v>
      </c>
      <c r="H34" s="315"/>
      <c r="I34" s="167" t="s">
        <v>186</v>
      </c>
      <c r="K34" s="105"/>
      <c r="L34" s="105"/>
      <c r="M34" s="105"/>
      <c r="N34" s="105"/>
    </row>
    <row r="35" spans="1:14" ht="70.5" customHeight="1" thickBot="1">
      <c r="A35" s="3242"/>
      <c r="B35" s="3220"/>
      <c r="C35" s="3223"/>
      <c r="D35" s="3223"/>
      <c r="E35" s="3225"/>
      <c r="F35" s="316">
        <v>6220</v>
      </c>
      <c r="G35" s="317"/>
      <c r="H35" s="318">
        <v>165970</v>
      </c>
      <c r="I35" s="304" t="s">
        <v>155</v>
      </c>
      <c r="K35" s="105"/>
      <c r="L35" s="105"/>
      <c r="M35" s="105"/>
      <c r="N35" s="105"/>
    </row>
    <row r="36" spans="1:14" ht="36" customHeight="1">
      <c r="A36" s="3241">
        <v>22</v>
      </c>
      <c r="B36" s="3245" t="s">
        <v>42</v>
      </c>
      <c r="C36" s="3221">
        <v>921</v>
      </c>
      <c r="D36" s="3221">
        <v>92118</v>
      </c>
      <c r="E36" s="3226">
        <f>SUM(G36:H47)</f>
        <v>8312671</v>
      </c>
      <c r="F36" s="313">
        <v>2800</v>
      </c>
      <c r="G36" s="314">
        <v>150000</v>
      </c>
      <c r="H36" s="315"/>
      <c r="I36" s="167" t="s">
        <v>156</v>
      </c>
      <c r="K36" s="105"/>
      <c r="L36" s="105"/>
      <c r="M36" s="105"/>
      <c r="N36" s="105"/>
    </row>
    <row r="37" spans="1:14" ht="68.25" customHeight="1" thickBot="1">
      <c r="A37" s="3242"/>
      <c r="B37" s="3246"/>
      <c r="C37" s="3222"/>
      <c r="D37" s="3222"/>
      <c r="E37" s="3224"/>
      <c r="F37" s="316">
        <v>6220</v>
      </c>
      <c r="G37" s="317"/>
      <c r="H37" s="318">
        <v>1900000</v>
      </c>
      <c r="I37" s="304" t="s">
        <v>161</v>
      </c>
      <c r="K37" s="105"/>
      <c r="L37" s="105"/>
      <c r="M37" s="105"/>
      <c r="N37" s="105"/>
    </row>
    <row r="38" spans="1:14" ht="81" customHeight="1">
      <c r="A38" s="3241">
        <v>23</v>
      </c>
      <c r="B38" s="3245" t="s">
        <v>118</v>
      </c>
      <c r="C38" s="3222"/>
      <c r="D38" s="3222"/>
      <c r="E38" s="3224"/>
      <c r="F38" s="313">
        <v>2800</v>
      </c>
      <c r="G38" s="314">
        <v>3513</v>
      </c>
      <c r="H38" s="315"/>
      <c r="I38" s="167" t="s">
        <v>158</v>
      </c>
      <c r="K38" s="105"/>
      <c r="L38" s="105"/>
      <c r="M38" s="105"/>
      <c r="N38" s="105"/>
    </row>
    <row r="39" spans="1:14" ht="145.5" customHeight="1" thickBot="1">
      <c r="A39" s="3242"/>
      <c r="B39" s="3246"/>
      <c r="C39" s="3222"/>
      <c r="D39" s="3222"/>
      <c r="E39" s="3224"/>
      <c r="F39" s="316">
        <v>6220</v>
      </c>
      <c r="G39" s="317"/>
      <c r="H39" s="318">
        <v>4266014</v>
      </c>
      <c r="I39" s="304" t="s">
        <v>188</v>
      </c>
      <c r="K39" s="105"/>
      <c r="L39" s="105"/>
      <c r="M39" s="105"/>
      <c r="N39" s="105"/>
    </row>
    <row r="40" spans="1:14" ht="99.75" customHeight="1" thickBot="1">
      <c r="A40" s="186">
        <v>24</v>
      </c>
      <c r="B40" s="299" t="s">
        <v>119</v>
      </c>
      <c r="C40" s="3223"/>
      <c r="D40" s="3223"/>
      <c r="E40" s="3225"/>
      <c r="F40" s="322">
        <v>6220</v>
      </c>
      <c r="G40" s="317"/>
      <c r="H40" s="318">
        <v>839000</v>
      </c>
      <c r="I40" s="304" t="s">
        <v>159</v>
      </c>
      <c r="K40" s="105"/>
      <c r="L40" s="105"/>
      <c r="M40" s="105"/>
      <c r="N40" s="105"/>
    </row>
    <row r="41" spans="1:14" ht="80.25" customHeight="1">
      <c r="A41" s="3265">
        <v>25</v>
      </c>
      <c r="B41" s="3278" t="s">
        <v>41</v>
      </c>
      <c r="C41" s="3222">
        <v>921</v>
      </c>
      <c r="D41" s="3222">
        <v>92118</v>
      </c>
      <c r="E41" s="3224" t="s">
        <v>125</v>
      </c>
      <c r="F41" s="323">
        <v>2800</v>
      </c>
      <c r="G41" s="314">
        <v>41000</v>
      </c>
      <c r="H41" s="315"/>
      <c r="I41" s="167" t="s">
        <v>157</v>
      </c>
      <c r="K41" s="105"/>
      <c r="L41" s="105"/>
      <c r="M41" s="105"/>
      <c r="N41" s="105"/>
    </row>
    <row r="42" spans="1:14" ht="95.25" customHeight="1">
      <c r="A42" s="3266"/>
      <c r="B42" s="3279"/>
      <c r="C42" s="3222"/>
      <c r="D42" s="3222"/>
      <c r="E42" s="3224"/>
      <c r="F42" s="3274">
        <v>6220</v>
      </c>
      <c r="G42" s="3215"/>
      <c r="H42" s="3217">
        <f>356700+595444</f>
        <v>952144</v>
      </c>
      <c r="I42" s="3219" t="s">
        <v>1070</v>
      </c>
      <c r="K42" s="105"/>
      <c r="L42" s="105"/>
      <c r="M42" s="105"/>
      <c r="N42" s="105"/>
    </row>
    <row r="43" spans="1:14" ht="31.5" customHeight="1" thickBot="1">
      <c r="A43" s="3267"/>
      <c r="B43" s="3280"/>
      <c r="C43" s="3222"/>
      <c r="D43" s="3222"/>
      <c r="E43" s="3224"/>
      <c r="F43" s="3275"/>
      <c r="G43" s="3216"/>
      <c r="H43" s="3218"/>
      <c r="I43" s="3220"/>
      <c r="K43" s="105"/>
      <c r="L43" s="105"/>
      <c r="M43" s="105"/>
      <c r="N43" s="105"/>
    </row>
    <row r="44" spans="1:14" ht="31.5" customHeight="1" thickBot="1">
      <c r="A44" s="305">
        <v>26</v>
      </c>
      <c r="B44" s="302" t="s">
        <v>120</v>
      </c>
      <c r="C44" s="3222"/>
      <c r="D44" s="3222"/>
      <c r="E44" s="3224"/>
      <c r="F44" s="319">
        <v>6220</v>
      </c>
      <c r="G44" s="320"/>
      <c r="H44" s="321">
        <v>18000</v>
      </c>
      <c r="I44" s="303" t="s">
        <v>160</v>
      </c>
      <c r="J44" s="2"/>
      <c r="K44" s="105"/>
      <c r="L44" s="105"/>
      <c r="M44" s="105"/>
      <c r="N44" s="105"/>
    </row>
    <row r="45" spans="1:14" ht="54" customHeight="1" thickBot="1">
      <c r="A45" s="306">
        <v>27</v>
      </c>
      <c r="B45" s="284" t="s">
        <v>94</v>
      </c>
      <c r="C45" s="3222"/>
      <c r="D45" s="3222"/>
      <c r="E45" s="3224"/>
      <c r="F45" s="250">
        <v>2800</v>
      </c>
      <c r="G45" s="251">
        <v>60000</v>
      </c>
      <c r="H45" s="252"/>
      <c r="I45" s="284" t="s">
        <v>187</v>
      </c>
      <c r="J45" s="2"/>
      <c r="K45" s="105"/>
      <c r="L45" s="105"/>
      <c r="M45" s="105"/>
      <c r="N45" s="105"/>
    </row>
    <row r="46" spans="1:14" ht="31.5" customHeight="1">
      <c r="A46" s="3241">
        <v>28</v>
      </c>
      <c r="B46" s="3264" t="s">
        <v>38</v>
      </c>
      <c r="C46" s="3222"/>
      <c r="D46" s="3222"/>
      <c r="E46" s="3224"/>
      <c r="F46" s="257">
        <v>2800</v>
      </c>
      <c r="G46" s="258">
        <v>60000</v>
      </c>
      <c r="H46" s="259"/>
      <c r="I46" s="260" t="s">
        <v>184</v>
      </c>
      <c r="K46" s="105"/>
      <c r="L46" s="105"/>
      <c r="M46" s="105"/>
      <c r="N46" s="105"/>
    </row>
    <row r="47" spans="1:14" ht="44.25" customHeight="1" thickBot="1">
      <c r="A47" s="3242"/>
      <c r="B47" s="3220"/>
      <c r="C47" s="3223"/>
      <c r="D47" s="3223"/>
      <c r="E47" s="3225"/>
      <c r="F47" s="194">
        <v>6220</v>
      </c>
      <c r="G47" s="191"/>
      <c r="H47" s="192">
        <v>23000</v>
      </c>
      <c r="I47" s="168" t="s">
        <v>183</v>
      </c>
      <c r="K47" s="105"/>
      <c r="L47" s="105"/>
      <c r="M47" s="105"/>
      <c r="N47" s="105"/>
    </row>
    <row r="48" spans="1:14" ht="34.5" customHeight="1" thickBot="1">
      <c r="A48" s="325">
        <v>29</v>
      </c>
      <c r="B48" s="358" t="s">
        <v>212</v>
      </c>
      <c r="C48" s="187">
        <v>925</v>
      </c>
      <c r="D48" s="187">
        <v>92501</v>
      </c>
      <c r="E48" s="324">
        <f>G48+H48</f>
        <v>150000</v>
      </c>
      <c r="F48" s="357">
        <v>6220</v>
      </c>
      <c r="G48" s="359"/>
      <c r="H48" s="321">
        <v>150000</v>
      </c>
      <c r="I48" s="356" t="s">
        <v>213</v>
      </c>
      <c r="K48" s="105"/>
      <c r="L48" s="105"/>
      <c r="M48" s="105"/>
      <c r="N48" s="105"/>
    </row>
    <row r="49" spans="1:14" ht="31.5" customHeight="1" thickBot="1">
      <c r="A49" s="3233" t="s">
        <v>10</v>
      </c>
      <c r="B49" s="3234"/>
      <c r="C49" s="3235"/>
      <c r="D49" s="3235"/>
      <c r="E49" s="61">
        <f>SUM(E7:E48)</f>
        <v>54823968</v>
      </c>
      <c r="F49" s="253"/>
      <c r="G49" s="254">
        <f>SUM(G7:G48)</f>
        <v>6229513</v>
      </c>
      <c r="H49" s="255">
        <f>SUM(H7:H48)</f>
        <v>48594455</v>
      </c>
      <c r="I49" s="256"/>
      <c r="K49" s="105"/>
      <c r="L49" s="105"/>
      <c r="M49" s="105"/>
      <c r="N49" s="105"/>
    </row>
    <row r="50" spans="1:14">
      <c r="G50" s="2"/>
      <c r="H50" s="2"/>
      <c r="K50" s="105"/>
      <c r="L50" s="105"/>
      <c r="M50" s="105"/>
      <c r="N50" s="105"/>
    </row>
    <row r="51" spans="1:14">
      <c r="E51" s="2"/>
      <c r="G51" s="2"/>
      <c r="H51" s="2">
        <f>SUM(G49:H49)</f>
        <v>54823968</v>
      </c>
      <c r="K51" s="105"/>
      <c r="L51" s="105"/>
      <c r="M51" s="105"/>
      <c r="N51" s="105"/>
    </row>
    <row r="52" spans="1:14">
      <c r="G52" s="2"/>
      <c r="K52" s="105"/>
      <c r="L52" s="105"/>
      <c r="M52" s="105"/>
      <c r="N52" s="105"/>
    </row>
    <row r="53" spans="1:14">
      <c r="G53" s="2"/>
      <c r="H53" s="2"/>
      <c r="K53" s="105"/>
      <c r="L53" s="105"/>
      <c r="M53" s="105"/>
      <c r="N53" s="105"/>
    </row>
    <row r="54" spans="1:14">
      <c r="K54" s="105"/>
      <c r="L54" s="105"/>
      <c r="M54" s="105"/>
      <c r="N54" s="105"/>
    </row>
    <row r="55" spans="1:14">
      <c r="G55" s="2"/>
      <c r="H55" s="2"/>
      <c r="K55" s="105"/>
      <c r="L55" s="105"/>
      <c r="M55" s="105"/>
      <c r="N55" s="105"/>
    </row>
    <row r="56" spans="1:14">
      <c r="G56" s="2"/>
      <c r="H56" s="2"/>
      <c r="K56" s="105"/>
      <c r="L56" s="105"/>
      <c r="M56" s="105"/>
      <c r="N56" s="105"/>
    </row>
    <row r="57" spans="1:14" ht="82.5" customHeight="1">
      <c r="G57" s="2"/>
      <c r="H57" s="2"/>
      <c r="K57" s="105"/>
      <c r="L57" s="105"/>
      <c r="M57" s="105"/>
      <c r="N57" s="105"/>
    </row>
    <row r="58" spans="1:14">
      <c r="H58" s="2"/>
    </row>
  </sheetData>
  <mergeCells count="63">
    <mergeCell ref="C16:C24"/>
    <mergeCell ref="E19:E20"/>
    <mergeCell ref="E30:E31"/>
    <mergeCell ref="D30:D31"/>
    <mergeCell ref="D28:D29"/>
    <mergeCell ref="E28:E29"/>
    <mergeCell ref="D25:D26"/>
    <mergeCell ref="D19:D20"/>
    <mergeCell ref="B25:B26"/>
    <mergeCell ref="B30:B31"/>
    <mergeCell ref="B32:B33"/>
    <mergeCell ref="B28:B29"/>
    <mergeCell ref="F42:F43"/>
    <mergeCell ref="E32:E33"/>
    <mergeCell ref="B41:B43"/>
    <mergeCell ref="A46:A47"/>
    <mergeCell ref="E34:E35"/>
    <mergeCell ref="A34:A35"/>
    <mergeCell ref="B38:B39"/>
    <mergeCell ref="A38:A39"/>
    <mergeCell ref="B46:B47"/>
    <mergeCell ref="D34:D35"/>
    <mergeCell ref="B34:B35"/>
    <mergeCell ref="A41:A43"/>
    <mergeCell ref="A1:C1"/>
    <mergeCell ref="A2:I2"/>
    <mergeCell ref="A4:A6"/>
    <mergeCell ref="B4:B6"/>
    <mergeCell ref="C4:C6"/>
    <mergeCell ref="D4:D6"/>
    <mergeCell ref="E4:E6"/>
    <mergeCell ref="F4:F6"/>
    <mergeCell ref="G4:H4"/>
    <mergeCell ref="I4:I6"/>
    <mergeCell ref="G5:G6"/>
    <mergeCell ref="H5:H6"/>
    <mergeCell ref="E7:E10"/>
    <mergeCell ref="E16:E18"/>
    <mergeCell ref="A49:D49"/>
    <mergeCell ref="C11:C13"/>
    <mergeCell ref="B7:B10"/>
    <mergeCell ref="A32:A33"/>
    <mergeCell ref="D32:D33"/>
    <mergeCell ref="A36:A37"/>
    <mergeCell ref="B36:B37"/>
    <mergeCell ref="D16:D18"/>
    <mergeCell ref="A30:A31"/>
    <mergeCell ref="A7:A10"/>
    <mergeCell ref="A25:A26"/>
    <mergeCell ref="A28:A29"/>
    <mergeCell ref="C7:C10"/>
    <mergeCell ref="D7:D10"/>
    <mergeCell ref="G42:G43"/>
    <mergeCell ref="H42:H43"/>
    <mergeCell ref="I42:I43"/>
    <mergeCell ref="C25:C29"/>
    <mergeCell ref="C30:C35"/>
    <mergeCell ref="C36:C40"/>
    <mergeCell ref="C41:C47"/>
    <mergeCell ref="D41:D47"/>
    <mergeCell ref="E41:E47"/>
    <mergeCell ref="E36:E40"/>
    <mergeCell ref="D36:D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Strona &amp;P z &amp;N</oddFooter>
  </headerFooter>
  <rowBreaks count="3" manualBreakCount="3">
    <brk id="15" max="8" man="1"/>
    <brk id="35" max="8" man="1"/>
    <brk id="40" max="8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H150"/>
  <sheetViews>
    <sheetView view="pageBreakPreview" zoomScale="110" zoomScaleSheetLayoutView="110" workbookViewId="0">
      <selection activeCell="K2" sqref="K2"/>
    </sheetView>
  </sheetViews>
  <sheetFormatPr defaultRowHeight="12.75"/>
  <cols>
    <col min="1" max="1" width="4.140625" style="1" bestFit="1" customWidth="1"/>
    <col min="2" max="2" width="7.7109375" style="1" customWidth="1"/>
    <col min="3" max="5" width="12.7109375" style="1" customWidth="1"/>
    <col min="6" max="6" width="12.5703125" style="1" customWidth="1"/>
    <col min="7" max="7" width="11.5703125" style="1" bestFit="1" customWidth="1"/>
    <col min="8" max="8" width="82.28515625" style="1" customWidth="1"/>
    <col min="9" max="259" width="9.140625" style="1"/>
    <col min="260" max="260" width="7.140625" style="1" customWidth="1"/>
    <col min="261" max="261" width="10.42578125" style="1" customWidth="1"/>
    <col min="262" max="262" width="12.85546875" style="1" customWidth="1"/>
    <col min="263" max="263" width="13.140625" style="1" customWidth="1"/>
    <col min="264" max="264" width="61" style="1" customWidth="1"/>
    <col min="265" max="515" width="9.140625" style="1"/>
    <col min="516" max="516" width="7.140625" style="1" customWidth="1"/>
    <col min="517" max="517" width="10.42578125" style="1" customWidth="1"/>
    <col min="518" max="518" width="12.85546875" style="1" customWidth="1"/>
    <col min="519" max="519" width="13.140625" style="1" customWidth="1"/>
    <col min="520" max="520" width="61" style="1" customWidth="1"/>
    <col min="521" max="771" width="9.140625" style="1"/>
    <col min="772" max="772" width="7.140625" style="1" customWidth="1"/>
    <col min="773" max="773" width="10.42578125" style="1" customWidth="1"/>
    <col min="774" max="774" width="12.85546875" style="1" customWidth="1"/>
    <col min="775" max="775" width="13.140625" style="1" customWidth="1"/>
    <col min="776" max="776" width="61" style="1" customWidth="1"/>
    <col min="777" max="1027" width="9.140625" style="1"/>
    <col min="1028" max="1028" width="7.140625" style="1" customWidth="1"/>
    <col min="1029" max="1029" width="10.42578125" style="1" customWidth="1"/>
    <col min="1030" max="1030" width="12.85546875" style="1" customWidth="1"/>
    <col min="1031" max="1031" width="13.140625" style="1" customWidth="1"/>
    <col min="1032" max="1032" width="61" style="1" customWidth="1"/>
    <col min="1033" max="1283" width="9.140625" style="1"/>
    <col min="1284" max="1284" width="7.140625" style="1" customWidth="1"/>
    <col min="1285" max="1285" width="10.42578125" style="1" customWidth="1"/>
    <col min="1286" max="1286" width="12.85546875" style="1" customWidth="1"/>
    <col min="1287" max="1287" width="13.140625" style="1" customWidth="1"/>
    <col min="1288" max="1288" width="61" style="1" customWidth="1"/>
    <col min="1289" max="1539" width="9.140625" style="1"/>
    <col min="1540" max="1540" width="7.140625" style="1" customWidth="1"/>
    <col min="1541" max="1541" width="10.42578125" style="1" customWidth="1"/>
    <col min="1542" max="1542" width="12.85546875" style="1" customWidth="1"/>
    <col min="1543" max="1543" width="13.140625" style="1" customWidth="1"/>
    <col min="1544" max="1544" width="61" style="1" customWidth="1"/>
    <col min="1545" max="1795" width="9.140625" style="1"/>
    <col min="1796" max="1796" width="7.140625" style="1" customWidth="1"/>
    <col min="1797" max="1797" width="10.42578125" style="1" customWidth="1"/>
    <col min="1798" max="1798" width="12.85546875" style="1" customWidth="1"/>
    <col min="1799" max="1799" width="13.140625" style="1" customWidth="1"/>
    <col min="1800" max="1800" width="61" style="1" customWidth="1"/>
    <col min="1801" max="2051" width="9.140625" style="1"/>
    <col min="2052" max="2052" width="7.140625" style="1" customWidth="1"/>
    <col min="2053" max="2053" width="10.42578125" style="1" customWidth="1"/>
    <col min="2054" max="2054" width="12.85546875" style="1" customWidth="1"/>
    <col min="2055" max="2055" width="13.140625" style="1" customWidth="1"/>
    <col min="2056" max="2056" width="61" style="1" customWidth="1"/>
    <col min="2057" max="2307" width="9.140625" style="1"/>
    <col min="2308" max="2308" width="7.140625" style="1" customWidth="1"/>
    <col min="2309" max="2309" width="10.42578125" style="1" customWidth="1"/>
    <col min="2310" max="2310" width="12.85546875" style="1" customWidth="1"/>
    <col min="2311" max="2311" width="13.140625" style="1" customWidth="1"/>
    <col min="2312" max="2312" width="61" style="1" customWidth="1"/>
    <col min="2313" max="2563" width="9.140625" style="1"/>
    <col min="2564" max="2564" width="7.140625" style="1" customWidth="1"/>
    <col min="2565" max="2565" width="10.42578125" style="1" customWidth="1"/>
    <col min="2566" max="2566" width="12.85546875" style="1" customWidth="1"/>
    <col min="2567" max="2567" width="13.140625" style="1" customWidth="1"/>
    <col min="2568" max="2568" width="61" style="1" customWidth="1"/>
    <col min="2569" max="2819" width="9.140625" style="1"/>
    <col min="2820" max="2820" width="7.140625" style="1" customWidth="1"/>
    <col min="2821" max="2821" width="10.42578125" style="1" customWidth="1"/>
    <col min="2822" max="2822" width="12.85546875" style="1" customWidth="1"/>
    <col min="2823" max="2823" width="13.140625" style="1" customWidth="1"/>
    <col min="2824" max="2824" width="61" style="1" customWidth="1"/>
    <col min="2825" max="3075" width="9.140625" style="1"/>
    <col min="3076" max="3076" width="7.140625" style="1" customWidth="1"/>
    <col min="3077" max="3077" width="10.42578125" style="1" customWidth="1"/>
    <col min="3078" max="3078" width="12.85546875" style="1" customWidth="1"/>
    <col min="3079" max="3079" width="13.140625" style="1" customWidth="1"/>
    <col min="3080" max="3080" width="61" style="1" customWidth="1"/>
    <col min="3081" max="3331" width="9.140625" style="1"/>
    <col min="3332" max="3332" width="7.140625" style="1" customWidth="1"/>
    <col min="3333" max="3333" width="10.42578125" style="1" customWidth="1"/>
    <col min="3334" max="3334" width="12.85546875" style="1" customWidth="1"/>
    <col min="3335" max="3335" width="13.140625" style="1" customWidth="1"/>
    <col min="3336" max="3336" width="61" style="1" customWidth="1"/>
    <col min="3337" max="3587" width="9.140625" style="1"/>
    <col min="3588" max="3588" width="7.140625" style="1" customWidth="1"/>
    <col min="3589" max="3589" width="10.42578125" style="1" customWidth="1"/>
    <col min="3590" max="3590" width="12.85546875" style="1" customWidth="1"/>
    <col min="3591" max="3591" width="13.140625" style="1" customWidth="1"/>
    <col min="3592" max="3592" width="61" style="1" customWidth="1"/>
    <col min="3593" max="3843" width="9.140625" style="1"/>
    <col min="3844" max="3844" width="7.140625" style="1" customWidth="1"/>
    <col min="3845" max="3845" width="10.42578125" style="1" customWidth="1"/>
    <col min="3846" max="3846" width="12.85546875" style="1" customWidth="1"/>
    <col min="3847" max="3847" width="13.140625" style="1" customWidth="1"/>
    <col min="3848" max="3848" width="61" style="1" customWidth="1"/>
    <col min="3849" max="4099" width="9.140625" style="1"/>
    <col min="4100" max="4100" width="7.140625" style="1" customWidth="1"/>
    <col min="4101" max="4101" width="10.42578125" style="1" customWidth="1"/>
    <col min="4102" max="4102" width="12.85546875" style="1" customWidth="1"/>
    <col min="4103" max="4103" width="13.140625" style="1" customWidth="1"/>
    <col min="4104" max="4104" width="61" style="1" customWidth="1"/>
    <col min="4105" max="4355" width="9.140625" style="1"/>
    <col min="4356" max="4356" width="7.140625" style="1" customWidth="1"/>
    <col min="4357" max="4357" width="10.42578125" style="1" customWidth="1"/>
    <col min="4358" max="4358" width="12.85546875" style="1" customWidth="1"/>
    <col min="4359" max="4359" width="13.140625" style="1" customWidth="1"/>
    <col min="4360" max="4360" width="61" style="1" customWidth="1"/>
    <col min="4361" max="4611" width="9.140625" style="1"/>
    <col min="4612" max="4612" width="7.140625" style="1" customWidth="1"/>
    <col min="4613" max="4613" width="10.42578125" style="1" customWidth="1"/>
    <col min="4614" max="4614" width="12.85546875" style="1" customWidth="1"/>
    <col min="4615" max="4615" width="13.140625" style="1" customWidth="1"/>
    <col min="4616" max="4616" width="61" style="1" customWidth="1"/>
    <col min="4617" max="4867" width="9.140625" style="1"/>
    <col min="4868" max="4868" width="7.140625" style="1" customWidth="1"/>
    <col min="4869" max="4869" width="10.42578125" style="1" customWidth="1"/>
    <col min="4870" max="4870" width="12.85546875" style="1" customWidth="1"/>
    <col min="4871" max="4871" width="13.140625" style="1" customWidth="1"/>
    <col min="4872" max="4872" width="61" style="1" customWidth="1"/>
    <col min="4873" max="5123" width="9.140625" style="1"/>
    <col min="5124" max="5124" width="7.140625" style="1" customWidth="1"/>
    <col min="5125" max="5125" width="10.42578125" style="1" customWidth="1"/>
    <col min="5126" max="5126" width="12.85546875" style="1" customWidth="1"/>
    <col min="5127" max="5127" width="13.140625" style="1" customWidth="1"/>
    <col min="5128" max="5128" width="61" style="1" customWidth="1"/>
    <col min="5129" max="5379" width="9.140625" style="1"/>
    <col min="5380" max="5380" width="7.140625" style="1" customWidth="1"/>
    <col min="5381" max="5381" width="10.42578125" style="1" customWidth="1"/>
    <col min="5382" max="5382" width="12.85546875" style="1" customWidth="1"/>
    <col min="5383" max="5383" width="13.140625" style="1" customWidth="1"/>
    <col min="5384" max="5384" width="61" style="1" customWidth="1"/>
    <col min="5385" max="5635" width="9.140625" style="1"/>
    <col min="5636" max="5636" width="7.140625" style="1" customWidth="1"/>
    <col min="5637" max="5637" width="10.42578125" style="1" customWidth="1"/>
    <col min="5638" max="5638" width="12.85546875" style="1" customWidth="1"/>
    <col min="5639" max="5639" width="13.140625" style="1" customWidth="1"/>
    <col min="5640" max="5640" width="61" style="1" customWidth="1"/>
    <col min="5641" max="5891" width="9.140625" style="1"/>
    <col min="5892" max="5892" width="7.140625" style="1" customWidth="1"/>
    <col min="5893" max="5893" width="10.42578125" style="1" customWidth="1"/>
    <col min="5894" max="5894" width="12.85546875" style="1" customWidth="1"/>
    <col min="5895" max="5895" width="13.140625" style="1" customWidth="1"/>
    <col min="5896" max="5896" width="61" style="1" customWidth="1"/>
    <col min="5897" max="6147" width="9.140625" style="1"/>
    <col min="6148" max="6148" width="7.140625" style="1" customWidth="1"/>
    <col min="6149" max="6149" width="10.42578125" style="1" customWidth="1"/>
    <col min="6150" max="6150" width="12.85546875" style="1" customWidth="1"/>
    <col min="6151" max="6151" width="13.140625" style="1" customWidth="1"/>
    <col min="6152" max="6152" width="61" style="1" customWidth="1"/>
    <col min="6153" max="6403" width="9.140625" style="1"/>
    <col min="6404" max="6404" width="7.140625" style="1" customWidth="1"/>
    <col min="6405" max="6405" width="10.42578125" style="1" customWidth="1"/>
    <col min="6406" max="6406" width="12.85546875" style="1" customWidth="1"/>
    <col min="6407" max="6407" width="13.140625" style="1" customWidth="1"/>
    <col min="6408" max="6408" width="61" style="1" customWidth="1"/>
    <col min="6409" max="6659" width="9.140625" style="1"/>
    <col min="6660" max="6660" width="7.140625" style="1" customWidth="1"/>
    <col min="6661" max="6661" width="10.42578125" style="1" customWidth="1"/>
    <col min="6662" max="6662" width="12.85546875" style="1" customWidth="1"/>
    <col min="6663" max="6663" width="13.140625" style="1" customWidth="1"/>
    <col min="6664" max="6664" width="61" style="1" customWidth="1"/>
    <col min="6665" max="6915" width="9.140625" style="1"/>
    <col min="6916" max="6916" width="7.140625" style="1" customWidth="1"/>
    <col min="6917" max="6917" width="10.42578125" style="1" customWidth="1"/>
    <col min="6918" max="6918" width="12.85546875" style="1" customWidth="1"/>
    <col min="6919" max="6919" width="13.140625" style="1" customWidth="1"/>
    <col min="6920" max="6920" width="61" style="1" customWidth="1"/>
    <col min="6921" max="7171" width="9.140625" style="1"/>
    <col min="7172" max="7172" width="7.140625" style="1" customWidth="1"/>
    <col min="7173" max="7173" width="10.42578125" style="1" customWidth="1"/>
    <col min="7174" max="7174" width="12.85546875" style="1" customWidth="1"/>
    <col min="7175" max="7175" width="13.140625" style="1" customWidth="1"/>
    <col min="7176" max="7176" width="61" style="1" customWidth="1"/>
    <col min="7177" max="7427" width="9.140625" style="1"/>
    <col min="7428" max="7428" width="7.140625" style="1" customWidth="1"/>
    <col min="7429" max="7429" width="10.42578125" style="1" customWidth="1"/>
    <col min="7430" max="7430" width="12.85546875" style="1" customWidth="1"/>
    <col min="7431" max="7431" width="13.140625" style="1" customWidth="1"/>
    <col min="7432" max="7432" width="61" style="1" customWidth="1"/>
    <col min="7433" max="7683" width="9.140625" style="1"/>
    <col min="7684" max="7684" width="7.140625" style="1" customWidth="1"/>
    <col min="7685" max="7685" width="10.42578125" style="1" customWidth="1"/>
    <col min="7686" max="7686" width="12.85546875" style="1" customWidth="1"/>
    <col min="7687" max="7687" width="13.140625" style="1" customWidth="1"/>
    <col min="7688" max="7688" width="61" style="1" customWidth="1"/>
    <col min="7689" max="7939" width="9.140625" style="1"/>
    <col min="7940" max="7940" width="7.140625" style="1" customWidth="1"/>
    <col min="7941" max="7941" width="10.42578125" style="1" customWidth="1"/>
    <col min="7942" max="7942" width="12.85546875" style="1" customWidth="1"/>
    <col min="7943" max="7943" width="13.140625" style="1" customWidth="1"/>
    <col min="7944" max="7944" width="61" style="1" customWidth="1"/>
    <col min="7945" max="8195" width="9.140625" style="1"/>
    <col min="8196" max="8196" width="7.140625" style="1" customWidth="1"/>
    <col min="8197" max="8197" width="10.42578125" style="1" customWidth="1"/>
    <col min="8198" max="8198" width="12.85546875" style="1" customWidth="1"/>
    <col min="8199" max="8199" width="13.140625" style="1" customWidth="1"/>
    <col min="8200" max="8200" width="61" style="1" customWidth="1"/>
    <col min="8201" max="8451" width="9.140625" style="1"/>
    <col min="8452" max="8452" width="7.140625" style="1" customWidth="1"/>
    <col min="8453" max="8453" width="10.42578125" style="1" customWidth="1"/>
    <col min="8454" max="8454" width="12.85546875" style="1" customWidth="1"/>
    <col min="8455" max="8455" width="13.140625" style="1" customWidth="1"/>
    <col min="8456" max="8456" width="61" style="1" customWidth="1"/>
    <col min="8457" max="8707" width="9.140625" style="1"/>
    <col min="8708" max="8708" width="7.140625" style="1" customWidth="1"/>
    <col min="8709" max="8709" width="10.42578125" style="1" customWidth="1"/>
    <col min="8710" max="8710" width="12.85546875" style="1" customWidth="1"/>
    <col min="8711" max="8711" width="13.140625" style="1" customWidth="1"/>
    <col min="8712" max="8712" width="61" style="1" customWidth="1"/>
    <col min="8713" max="8963" width="9.140625" style="1"/>
    <col min="8964" max="8964" width="7.140625" style="1" customWidth="1"/>
    <col min="8965" max="8965" width="10.42578125" style="1" customWidth="1"/>
    <col min="8966" max="8966" width="12.85546875" style="1" customWidth="1"/>
    <col min="8967" max="8967" width="13.140625" style="1" customWidth="1"/>
    <col min="8968" max="8968" width="61" style="1" customWidth="1"/>
    <col min="8969" max="9219" width="9.140625" style="1"/>
    <col min="9220" max="9220" width="7.140625" style="1" customWidth="1"/>
    <col min="9221" max="9221" width="10.42578125" style="1" customWidth="1"/>
    <col min="9222" max="9222" width="12.85546875" style="1" customWidth="1"/>
    <col min="9223" max="9223" width="13.140625" style="1" customWidth="1"/>
    <col min="9224" max="9224" width="61" style="1" customWidth="1"/>
    <col min="9225" max="9475" width="9.140625" style="1"/>
    <col min="9476" max="9476" width="7.140625" style="1" customWidth="1"/>
    <col min="9477" max="9477" width="10.42578125" style="1" customWidth="1"/>
    <col min="9478" max="9478" width="12.85546875" style="1" customWidth="1"/>
    <col min="9479" max="9479" width="13.140625" style="1" customWidth="1"/>
    <col min="9480" max="9480" width="61" style="1" customWidth="1"/>
    <col min="9481" max="9731" width="9.140625" style="1"/>
    <col min="9732" max="9732" width="7.140625" style="1" customWidth="1"/>
    <col min="9733" max="9733" width="10.42578125" style="1" customWidth="1"/>
    <col min="9734" max="9734" width="12.85546875" style="1" customWidth="1"/>
    <col min="9735" max="9735" width="13.140625" style="1" customWidth="1"/>
    <col min="9736" max="9736" width="61" style="1" customWidth="1"/>
    <col min="9737" max="9987" width="9.140625" style="1"/>
    <col min="9988" max="9988" width="7.140625" style="1" customWidth="1"/>
    <col min="9989" max="9989" width="10.42578125" style="1" customWidth="1"/>
    <col min="9990" max="9990" width="12.85546875" style="1" customWidth="1"/>
    <col min="9991" max="9991" width="13.140625" style="1" customWidth="1"/>
    <col min="9992" max="9992" width="61" style="1" customWidth="1"/>
    <col min="9993" max="10243" width="9.140625" style="1"/>
    <col min="10244" max="10244" width="7.140625" style="1" customWidth="1"/>
    <col min="10245" max="10245" width="10.42578125" style="1" customWidth="1"/>
    <col min="10246" max="10246" width="12.85546875" style="1" customWidth="1"/>
    <col min="10247" max="10247" width="13.140625" style="1" customWidth="1"/>
    <col min="10248" max="10248" width="61" style="1" customWidth="1"/>
    <col min="10249" max="10499" width="9.140625" style="1"/>
    <col min="10500" max="10500" width="7.140625" style="1" customWidth="1"/>
    <col min="10501" max="10501" width="10.42578125" style="1" customWidth="1"/>
    <col min="10502" max="10502" width="12.85546875" style="1" customWidth="1"/>
    <col min="10503" max="10503" width="13.140625" style="1" customWidth="1"/>
    <col min="10504" max="10504" width="61" style="1" customWidth="1"/>
    <col min="10505" max="10755" width="9.140625" style="1"/>
    <col min="10756" max="10756" width="7.140625" style="1" customWidth="1"/>
    <col min="10757" max="10757" width="10.42578125" style="1" customWidth="1"/>
    <col min="10758" max="10758" width="12.85546875" style="1" customWidth="1"/>
    <col min="10759" max="10759" width="13.140625" style="1" customWidth="1"/>
    <col min="10760" max="10760" width="61" style="1" customWidth="1"/>
    <col min="10761" max="11011" width="9.140625" style="1"/>
    <col min="11012" max="11012" width="7.140625" style="1" customWidth="1"/>
    <col min="11013" max="11013" width="10.42578125" style="1" customWidth="1"/>
    <col min="11014" max="11014" width="12.85546875" style="1" customWidth="1"/>
    <col min="11015" max="11015" width="13.140625" style="1" customWidth="1"/>
    <col min="11016" max="11016" width="61" style="1" customWidth="1"/>
    <col min="11017" max="11267" width="9.140625" style="1"/>
    <col min="11268" max="11268" width="7.140625" style="1" customWidth="1"/>
    <col min="11269" max="11269" width="10.42578125" style="1" customWidth="1"/>
    <col min="11270" max="11270" width="12.85546875" style="1" customWidth="1"/>
    <col min="11271" max="11271" width="13.140625" style="1" customWidth="1"/>
    <col min="11272" max="11272" width="61" style="1" customWidth="1"/>
    <col min="11273" max="11523" width="9.140625" style="1"/>
    <col min="11524" max="11524" width="7.140625" style="1" customWidth="1"/>
    <col min="11525" max="11525" width="10.42578125" style="1" customWidth="1"/>
    <col min="11526" max="11526" width="12.85546875" style="1" customWidth="1"/>
    <col min="11527" max="11527" width="13.140625" style="1" customWidth="1"/>
    <col min="11528" max="11528" width="61" style="1" customWidth="1"/>
    <col min="11529" max="11779" width="9.140625" style="1"/>
    <col min="11780" max="11780" width="7.140625" style="1" customWidth="1"/>
    <col min="11781" max="11781" width="10.42578125" style="1" customWidth="1"/>
    <col min="11782" max="11782" width="12.85546875" style="1" customWidth="1"/>
    <col min="11783" max="11783" width="13.140625" style="1" customWidth="1"/>
    <col min="11784" max="11784" width="61" style="1" customWidth="1"/>
    <col min="11785" max="12035" width="9.140625" style="1"/>
    <col min="12036" max="12036" width="7.140625" style="1" customWidth="1"/>
    <col min="12037" max="12037" width="10.42578125" style="1" customWidth="1"/>
    <col min="12038" max="12038" width="12.85546875" style="1" customWidth="1"/>
    <col min="12039" max="12039" width="13.140625" style="1" customWidth="1"/>
    <col min="12040" max="12040" width="61" style="1" customWidth="1"/>
    <col min="12041" max="12291" width="9.140625" style="1"/>
    <col min="12292" max="12292" width="7.140625" style="1" customWidth="1"/>
    <col min="12293" max="12293" width="10.42578125" style="1" customWidth="1"/>
    <col min="12294" max="12294" width="12.85546875" style="1" customWidth="1"/>
    <col min="12295" max="12295" width="13.140625" style="1" customWidth="1"/>
    <col min="12296" max="12296" width="61" style="1" customWidth="1"/>
    <col min="12297" max="12547" width="9.140625" style="1"/>
    <col min="12548" max="12548" width="7.140625" style="1" customWidth="1"/>
    <col min="12549" max="12549" width="10.42578125" style="1" customWidth="1"/>
    <col min="12550" max="12550" width="12.85546875" style="1" customWidth="1"/>
    <col min="12551" max="12551" width="13.140625" style="1" customWidth="1"/>
    <col min="12552" max="12552" width="61" style="1" customWidth="1"/>
    <col min="12553" max="12803" width="9.140625" style="1"/>
    <col min="12804" max="12804" width="7.140625" style="1" customWidth="1"/>
    <col min="12805" max="12805" width="10.42578125" style="1" customWidth="1"/>
    <col min="12806" max="12806" width="12.85546875" style="1" customWidth="1"/>
    <col min="12807" max="12807" width="13.140625" style="1" customWidth="1"/>
    <col min="12808" max="12808" width="61" style="1" customWidth="1"/>
    <col min="12809" max="13059" width="9.140625" style="1"/>
    <col min="13060" max="13060" width="7.140625" style="1" customWidth="1"/>
    <col min="13061" max="13061" width="10.42578125" style="1" customWidth="1"/>
    <col min="13062" max="13062" width="12.85546875" style="1" customWidth="1"/>
    <col min="13063" max="13063" width="13.140625" style="1" customWidth="1"/>
    <col min="13064" max="13064" width="61" style="1" customWidth="1"/>
    <col min="13065" max="13315" width="9.140625" style="1"/>
    <col min="13316" max="13316" width="7.140625" style="1" customWidth="1"/>
    <col min="13317" max="13317" width="10.42578125" style="1" customWidth="1"/>
    <col min="13318" max="13318" width="12.85546875" style="1" customWidth="1"/>
    <col min="13319" max="13319" width="13.140625" style="1" customWidth="1"/>
    <col min="13320" max="13320" width="61" style="1" customWidth="1"/>
    <col min="13321" max="13571" width="9.140625" style="1"/>
    <col min="13572" max="13572" width="7.140625" style="1" customWidth="1"/>
    <col min="13573" max="13573" width="10.42578125" style="1" customWidth="1"/>
    <col min="13574" max="13574" width="12.85546875" style="1" customWidth="1"/>
    <col min="13575" max="13575" width="13.140625" style="1" customWidth="1"/>
    <col min="13576" max="13576" width="61" style="1" customWidth="1"/>
    <col min="13577" max="13827" width="9.140625" style="1"/>
    <col min="13828" max="13828" width="7.140625" style="1" customWidth="1"/>
    <col min="13829" max="13829" width="10.42578125" style="1" customWidth="1"/>
    <col min="13830" max="13830" width="12.85546875" style="1" customWidth="1"/>
    <col min="13831" max="13831" width="13.140625" style="1" customWidth="1"/>
    <col min="13832" max="13832" width="61" style="1" customWidth="1"/>
    <col min="13833" max="14083" width="9.140625" style="1"/>
    <col min="14084" max="14084" width="7.140625" style="1" customWidth="1"/>
    <col min="14085" max="14085" width="10.42578125" style="1" customWidth="1"/>
    <col min="14086" max="14086" width="12.85546875" style="1" customWidth="1"/>
    <col min="14087" max="14087" width="13.140625" style="1" customWidth="1"/>
    <col min="14088" max="14088" width="61" style="1" customWidth="1"/>
    <col min="14089" max="14339" width="9.140625" style="1"/>
    <col min="14340" max="14340" width="7.140625" style="1" customWidth="1"/>
    <col min="14341" max="14341" width="10.42578125" style="1" customWidth="1"/>
    <col min="14342" max="14342" width="12.85546875" style="1" customWidth="1"/>
    <col min="14343" max="14343" width="13.140625" style="1" customWidth="1"/>
    <col min="14344" max="14344" width="61" style="1" customWidth="1"/>
    <col min="14345" max="14595" width="9.140625" style="1"/>
    <col min="14596" max="14596" width="7.140625" style="1" customWidth="1"/>
    <col min="14597" max="14597" width="10.42578125" style="1" customWidth="1"/>
    <col min="14598" max="14598" width="12.85546875" style="1" customWidth="1"/>
    <col min="14599" max="14599" width="13.140625" style="1" customWidth="1"/>
    <col min="14600" max="14600" width="61" style="1" customWidth="1"/>
    <col min="14601" max="14851" width="9.140625" style="1"/>
    <col min="14852" max="14852" width="7.140625" style="1" customWidth="1"/>
    <col min="14853" max="14853" width="10.42578125" style="1" customWidth="1"/>
    <col min="14854" max="14854" width="12.85546875" style="1" customWidth="1"/>
    <col min="14855" max="14855" width="13.140625" style="1" customWidth="1"/>
    <col min="14856" max="14856" width="61" style="1" customWidth="1"/>
    <col min="14857" max="15107" width="9.140625" style="1"/>
    <col min="15108" max="15108" width="7.140625" style="1" customWidth="1"/>
    <col min="15109" max="15109" width="10.42578125" style="1" customWidth="1"/>
    <col min="15110" max="15110" width="12.85546875" style="1" customWidth="1"/>
    <col min="15111" max="15111" width="13.140625" style="1" customWidth="1"/>
    <col min="15112" max="15112" width="61" style="1" customWidth="1"/>
    <col min="15113" max="15363" width="9.140625" style="1"/>
    <col min="15364" max="15364" width="7.140625" style="1" customWidth="1"/>
    <col min="15365" max="15365" width="10.42578125" style="1" customWidth="1"/>
    <col min="15366" max="15366" width="12.85546875" style="1" customWidth="1"/>
    <col min="15367" max="15367" width="13.140625" style="1" customWidth="1"/>
    <col min="15368" max="15368" width="61" style="1" customWidth="1"/>
    <col min="15369" max="15619" width="9.140625" style="1"/>
    <col min="15620" max="15620" width="7.140625" style="1" customWidth="1"/>
    <col min="15621" max="15621" width="10.42578125" style="1" customWidth="1"/>
    <col min="15622" max="15622" width="12.85546875" style="1" customWidth="1"/>
    <col min="15623" max="15623" width="13.140625" style="1" customWidth="1"/>
    <col min="15624" max="15624" width="61" style="1" customWidth="1"/>
    <col min="15625" max="15875" width="9.140625" style="1"/>
    <col min="15876" max="15876" width="7.140625" style="1" customWidth="1"/>
    <col min="15877" max="15877" width="10.42578125" style="1" customWidth="1"/>
    <col min="15878" max="15878" width="12.85546875" style="1" customWidth="1"/>
    <col min="15879" max="15879" width="13.140625" style="1" customWidth="1"/>
    <col min="15880" max="15880" width="61" style="1" customWidth="1"/>
    <col min="15881" max="16131" width="9.140625" style="1"/>
    <col min="16132" max="16132" width="7.140625" style="1" customWidth="1"/>
    <col min="16133" max="16133" width="10.42578125" style="1" customWidth="1"/>
    <col min="16134" max="16134" width="12.85546875" style="1" customWidth="1"/>
    <col min="16135" max="16135" width="13.140625" style="1" customWidth="1"/>
    <col min="16136" max="16136" width="61" style="1" customWidth="1"/>
    <col min="16137" max="16384" width="9.140625" style="1"/>
  </cols>
  <sheetData>
    <row r="1" spans="1:8" ht="60" customHeight="1">
      <c r="B1" s="3291"/>
      <c r="C1" s="3291"/>
      <c r="D1" s="3291"/>
      <c r="E1" s="3291"/>
      <c r="F1" s="3292"/>
      <c r="G1" s="104"/>
      <c r="H1" s="48" t="s">
        <v>1227</v>
      </c>
    </row>
    <row r="2" spans="1:8" ht="51.75" customHeight="1" thickBot="1">
      <c r="A2" s="3258" t="s">
        <v>95</v>
      </c>
      <c r="B2" s="3258"/>
      <c r="C2" s="3258"/>
      <c r="D2" s="3258"/>
      <c r="E2" s="3258"/>
      <c r="F2" s="3258"/>
      <c r="G2" s="3258"/>
      <c r="H2" s="3258"/>
    </row>
    <row r="3" spans="1:8" ht="36" customHeight="1" thickBot="1">
      <c r="A3" s="3190" t="s">
        <v>6</v>
      </c>
      <c r="B3" s="3259" t="s">
        <v>0</v>
      </c>
      <c r="C3" s="3259" t="s">
        <v>1</v>
      </c>
      <c r="D3" s="3261" t="s">
        <v>3</v>
      </c>
      <c r="E3" s="3297" t="s">
        <v>122</v>
      </c>
      <c r="F3" s="3293" t="s">
        <v>2</v>
      </c>
      <c r="G3" s="3294"/>
      <c r="H3" s="3295" t="s">
        <v>85</v>
      </c>
    </row>
    <row r="4" spans="1:8" ht="24" customHeight="1" thickBot="1">
      <c r="A4" s="3190"/>
      <c r="B4" s="3259"/>
      <c r="C4" s="3259"/>
      <c r="D4" s="3261"/>
      <c r="E4" s="3298"/>
      <c r="F4" s="103" t="s">
        <v>121</v>
      </c>
      <c r="G4" s="102" t="s">
        <v>7</v>
      </c>
      <c r="H4" s="3296"/>
    </row>
    <row r="5" spans="1:8" ht="62.25" customHeight="1" thickBot="1">
      <c r="A5" s="148">
        <v>1</v>
      </c>
      <c r="B5" s="119" t="s">
        <v>57</v>
      </c>
      <c r="C5" s="119" t="s">
        <v>59</v>
      </c>
      <c r="D5" s="115">
        <v>2360</v>
      </c>
      <c r="E5" s="112">
        <f>SUM(F5:G5)</f>
        <v>3314085</v>
      </c>
      <c r="F5" s="113">
        <v>3314085</v>
      </c>
      <c r="G5" s="114">
        <v>0</v>
      </c>
      <c r="H5" s="125" t="s">
        <v>109</v>
      </c>
    </row>
    <row r="6" spans="1:8" ht="16.5" customHeight="1" thickBot="1">
      <c r="A6" s="122">
        <v>2</v>
      </c>
      <c r="B6" s="33" t="s">
        <v>4</v>
      </c>
      <c r="C6" s="33" t="s">
        <v>60</v>
      </c>
      <c r="D6" s="116">
        <v>2830</v>
      </c>
      <c r="E6" s="112">
        <f>SUM(F6:G6)</f>
        <v>63747968</v>
      </c>
      <c r="F6" s="113">
        <v>63747968</v>
      </c>
      <c r="G6" s="110">
        <v>0</v>
      </c>
      <c r="H6" s="31" t="s">
        <v>96</v>
      </c>
    </row>
    <row r="7" spans="1:8" ht="18.75" customHeight="1">
      <c r="A7" s="3299">
        <v>3</v>
      </c>
      <c r="B7" s="3301" t="s">
        <v>62</v>
      </c>
      <c r="C7" s="3301" t="s">
        <v>63</v>
      </c>
      <c r="D7" s="344">
        <v>2360</v>
      </c>
      <c r="E7" s="171">
        <f t="shared" ref="E7:E23" si="0">SUM(F7:G7)</f>
        <v>100000</v>
      </c>
      <c r="F7" s="345">
        <v>100000</v>
      </c>
      <c r="G7" s="171">
        <v>0</v>
      </c>
      <c r="H7" s="346" t="s">
        <v>97</v>
      </c>
    </row>
    <row r="8" spans="1:8" ht="19.5" customHeight="1" thickBot="1">
      <c r="A8" s="3300"/>
      <c r="B8" s="3302"/>
      <c r="C8" s="3302"/>
      <c r="D8" s="347">
        <v>6190</v>
      </c>
      <c r="E8" s="114">
        <f t="shared" si="0"/>
        <v>350000</v>
      </c>
      <c r="F8" s="275"/>
      <c r="G8" s="114">
        <v>350000</v>
      </c>
      <c r="H8" s="125" t="s">
        <v>207</v>
      </c>
    </row>
    <row r="9" spans="1:8" ht="18.75" customHeight="1" thickBot="1">
      <c r="A9" s="122">
        <v>4</v>
      </c>
      <c r="B9" s="33" t="s">
        <v>162</v>
      </c>
      <c r="C9" s="33" t="s">
        <v>163</v>
      </c>
      <c r="D9" s="116">
        <v>2360</v>
      </c>
      <c r="E9" s="112">
        <f t="shared" si="0"/>
        <v>50000</v>
      </c>
      <c r="F9" s="275">
        <v>50000</v>
      </c>
      <c r="G9" s="110"/>
      <c r="H9" s="31" t="s">
        <v>164</v>
      </c>
    </row>
    <row r="10" spans="1:8" ht="21" customHeight="1" thickBot="1">
      <c r="A10" s="122">
        <v>5</v>
      </c>
      <c r="B10" s="120">
        <v>754</v>
      </c>
      <c r="C10" s="120">
        <v>75415</v>
      </c>
      <c r="D10" s="117">
        <v>2360</v>
      </c>
      <c r="E10" s="112">
        <f t="shared" si="0"/>
        <v>360000</v>
      </c>
      <c r="F10" s="123">
        <v>360000</v>
      </c>
      <c r="G10" s="111">
        <v>0</v>
      </c>
      <c r="H10" s="126" t="s">
        <v>98</v>
      </c>
    </row>
    <row r="11" spans="1:8" ht="32.25" customHeight="1">
      <c r="A11" s="3299">
        <v>6</v>
      </c>
      <c r="B11" s="3289" t="s">
        <v>68</v>
      </c>
      <c r="C11" s="267" t="s">
        <v>69</v>
      </c>
      <c r="D11" s="137">
        <v>2360</v>
      </c>
      <c r="E11" s="171">
        <f t="shared" si="0"/>
        <v>150000</v>
      </c>
      <c r="F11" s="133">
        <v>150000</v>
      </c>
      <c r="G11" s="138">
        <v>0</v>
      </c>
      <c r="H11" s="139" t="s">
        <v>127</v>
      </c>
    </row>
    <row r="12" spans="1:8" ht="48.75" customHeight="1" thickBot="1">
      <c r="A12" s="3300"/>
      <c r="B12" s="3290"/>
      <c r="C12" s="268" t="s">
        <v>70</v>
      </c>
      <c r="D12" s="141">
        <v>2360</v>
      </c>
      <c r="E12" s="114">
        <f t="shared" si="0"/>
        <v>427800</v>
      </c>
      <c r="F12" s="135">
        <v>427800</v>
      </c>
      <c r="G12" s="142">
        <v>0</v>
      </c>
      <c r="H12" s="143" t="s">
        <v>128</v>
      </c>
    </row>
    <row r="13" spans="1:8" ht="34.5" customHeight="1">
      <c r="A13" s="3299">
        <v>7</v>
      </c>
      <c r="B13" s="3289" t="s">
        <v>71</v>
      </c>
      <c r="C13" s="136" t="s">
        <v>72</v>
      </c>
      <c r="D13" s="137">
        <v>2360</v>
      </c>
      <c r="E13" s="171">
        <f t="shared" si="0"/>
        <v>200000</v>
      </c>
      <c r="F13" s="133">
        <v>200000</v>
      </c>
      <c r="G13" s="138">
        <v>0</v>
      </c>
      <c r="H13" s="144" t="s">
        <v>129</v>
      </c>
    </row>
    <row r="14" spans="1:8" ht="33.75" customHeight="1" thickBot="1">
      <c r="A14" s="3300"/>
      <c r="B14" s="3290"/>
      <c r="C14" s="140" t="s">
        <v>73</v>
      </c>
      <c r="D14" s="141">
        <v>2360</v>
      </c>
      <c r="E14" s="114">
        <f t="shared" si="0"/>
        <v>1180000</v>
      </c>
      <c r="F14" s="135">
        <v>1180000</v>
      </c>
      <c r="G14" s="142">
        <v>0</v>
      </c>
      <c r="H14" s="143" t="s">
        <v>130</v>
      </c>
    </row>
    <row r="15" spans="1:8" ht="50.25" customHeight="1" thickBot="1">
      <c r="A15" s="122">
        <v>8</v>
      </c>
      <c r="B15" s="121" t="s">
        <v>74</v>
      </c>
      <c r="C15" s="121" t="s">
        <v>75</v>
      </c>
      <c r="D15" s="118">
        <v>2360</v>
      </c>
      <c r="E15" s="110">
        <f t="shared" si="0"/>
        <v>1127991</v>
      </c>
      <c r="F15" s="124">
        <v>1127991</v>
      </c>
      <c r="G15" s="32">
        <v>0</v>
      </c>
      <c r="H15" s="127" t="s">
        <v>131</v>
      </c>
    </row>
    <row r="16" spans="1:8" ht="37.5" customHeight="1">
      <c r="A16" s="3283">
        <v>9</v>
      </c>
      <c r="B16" s="3285" t="s">
        <v>110</v>
      </c>
      <c r="C16" s="327" t="s">
        <v>111</v>
      </c>
      <c r="D16" s="277">
        <v>2360</v>
      </c>
      <c r="E16" s="171">
        <f t="shared" si="0"/>
        <v>90000</v>
      </c>
      <c r="F16" s="278">
        <v>90000</v>
      </c>
      <c r="G16" s="279">
        <v>0</v>
      </c>
      <c r="H16" s="280" t="s">
        <v>132</v>
      </c>
    </row>
    <row r="17" spans="1:8" ht="32.25" customHeight="1" thickBot="1">
      <c r="A17" s="3284"/>
      <c r="B17" s="3286"/>
      <c r="C17" s="326" t="s">
        <v>112</v>
      </c>
      <c r="D17" s="348">
        <v>2360</v>
      </c>
      <c r="E17" s="114">
        <f t="shared" si="0"/>
        <v>2407632</v>
      </c>
      <c r="F17" s="181">
        <v>2407632</v>
      </c>
      <c r="G17" s="142">
        <v>0</v>
      </c>
      <c r="H17" s="143" t="s">
        <v>116</v>
      </c>
    </row>
    <row r="18" spans="1:8" ht="39.75" customHeight="1" thickBot="1">
      <c r="A18" s="145">
        <v>10</v>
      </c>
      <c r="B18" s="172" t="s">
        <v>76</v>
      </c>
      <c r="C18" s="121" t="s">
        <v>77</v>
      </c>
      <c r="D18" s="118">
        <v>2360</v>
      </c>
      <c r="E18" s="112">
        <f t="shared" si="0"/>
        <v>5000</v>
      </c>
      <c r="F18" s="124">
        <v>5000</v>
      </c>
      <c r="G18" s="32">
        <v>0</v>
      </c>
      <c r="H18" s="127" t="s">
        <v>123</v>
      </c>
    </row>
    <row r="19" spans="1:8" ht="23.25" customHeight="1">
      <c r="A19" s="3283">
        <v>11</v>
      </c>
      <c r="B19" s="3285" t="s">
        <v>5</v>
      </c>
      <c r="C19" s="327" t="s">
        <v>78</v>
      </c>
      <c r="D19" s="277">
        <v>2360</v>
      </c>
      <c r="E19" s="171">
        <f t="shared" si="0"/>
        <v>500000</v>
      </c>
      <c r="F19" s="278">
        <v>500000</v>
      </c>
      <c r="G19" s="279">
        <v>0</v>
      </c>
      <c r="H19" s="280" t="s">
        <v>99</v>
      </c>
    </row>
    <row r="20" spans="1:8" ht="51.75" customHeight="1" thickBot="1">
      <c r="A20" s="3284"/>
      <c r="B20" s="3286"/>
      <c r="C20" s="326" t="s">
        <v>79</v>
      </c>
      <c r="D20" s="348">
        <v>2720</v>
      </c>
      <c r="E20" s="114">
        <f t="shared" si="0"/>
        <v>4000000</v>
      </c>
      <c r="F20" s="181">
        <v>4000000</v>
      </c>
      <c r="G20" s="142">
        <v>0</v>
      </c>
      <c r="H20" s="143" t="s">
        <v>100</v>
      </c>
    </row>
    <row r="21" spans="1:8" ht="49.5" customHeight="1" thickBot="1">
      <c r="A21" s="145">
        <v>12</v>
      </c>
      <c r="B21" s="270" t="s">
        <v>174</v>
      </c>
      <c r="C21" s="269" t="s">
        <v>175</v>
      </c>
      <c r="D21" s="277">
        <v>2360</v>
      </c>
      <c r="E21" s="171">
        <f t="shared" ref="E21" si="1">SUM(F21:G21)</f>
        <v>5000</v>
      </c>
      <c r="F21" s="278">
        <v>5000</v>
      </c>
      <c r="G21" s="279">
        <v>0</v>
      </c>
      <c r="H21" s="280" t="s">
        <v>176</v>
      </c>
    </row>
    <row r="22" spans="1:8" ht="23.25" customHeight="1">
      <c r="A22" s="3287">
        <v>13</v>
      </c>
      <c r="B22" s="3289" t="s">
        <v>80</v>
      </c>
      <c r="C22" s="3289" t="s">
        <v>81</v>
      </c>
      <c r="D22" s="131">
        <v>2360</v>
      </c>
      <c r="E22" s="171">
        <f t="shared" si="0"/>
        <v>180000</v>
      </c>
      <c r="F22" s="133">
        <v>180000</v>
      </c>
      <c r="G22" s="132">
        <v>0</v>
      </c>
      <c r="H22" s="3303" t="s">
        <v>101</v>
      </c>
    </row>
    <row r="23" spans="1:8" ht="23.25" customHeight="1" thickBot="1">
      <c r="A23" s="3288"/>
      <c r="B23" s="3290"/>
      <c r="C23" s="3290"/>
      <c r="D23" s="180">
        <v>2820</v>
      </c>
      <c r="E23" s="114">
        <f t="shared" si="0"/>
        <v>2324371</v>
      </c>
      <c r="F23" s="181">
        <v>2324371</v>
      </c>
      <c r="G23" s="134">
        <v>0</v>
      </c>
      <c r="H23" s="3304"/>
    </row>
    <row r="24" spans="1:8" ht="35.25" customHeight="1" thickBot="1">
      <c r="A24" s="3187" t="s">
        <v>10</v>
      </c>
      <c r="B24" s="3188"/>
      <c r="C24" s="3188"/>
      <c r="D24" s="3189"/>
      <c r="E24" s="146">
        <f>SUM(F24:G24)</f>
        <v>80519847</v>
      </c>
      <c r="F24" s="108">
        <f>SUM(F5:F23)</f>
        <v>80169847</v>
      </c>
      <c r="G24" s="109">
        <f>SUM(G5:G23)</f>
        <v>350000</v>
      </c>
      <c r="H24" s="147"/>
    </row>
    <row r="25" spans="1:8">
      <c r="B25" s="46"/>
      <c r="C25" s="46"/>
      <c r="D25" s="46"/>
      <c r="E25" s="46"/>
      <c r="F25" s="47"/>
      <c r="G25" s="47"/>
      <c r="H25" s="53"/>
    </row>
    <row r="26" spans="1:8">
      <c r="B26" s="46"/>
      <c r="C26" s="46"/>
      <c r="D26" s="46"/>
      <c r="E26" s="107"/>
      <c r="F26" s="47"/>
      <c r="G26" s="47"/>
      <c r="H26" s="53"/>
    </row>
    <row r="27" spans="1:8">
      <c r="B27" s="46"/>
      <c r="C27" s="46"/>
      <c r="D27" s="46"/>
      <c r="E27" s="46"/>
      <c r="F27" s="47"/>
      <c r="G27" s="47"/>
      <c r="H27" s="53"/>
    </row>
    <row r="28" spans="1:8">
      <c r="B28" s="46"/>
      <c r="C28" s="46"/>
      <c r="D28" s="46"/>
      <c r="E28" s="46"/>
      <c r="F28" s="47"/>
      <c r="G28" s="47"/>
      <c r="H28" s="53"/>
    </row>
    <row r="29" spans="1:8">
      <c r="B29" s="46"/>
      <c r="C29" s="46"/>
      <c r="D29" s="46"/>
      <c r="E29" s="46"/>
      <c r="F29" s="47"/>
      <c r="G29" s="47"/>
      <c r="H29" s="53"/>
    </row>
    <row r="30" spans="1:8">
      <c r="B30" s="46"/>
      <c r="C30" s="46"/>
      <c r="D30" s="46"/>
      <c r="E30" s="46"/>
      <c r="F30" s="47"/>
      <c r="G30" s="47"/>
      <c r="H30" s="53"/>
    </row>
    <row r="31" spans="1:8">
      <c r="B31" s="46"/>
      <c r="C31" s="46"/>
      <c r="D31" s="46"/>
      <c r="E31" s="46"/>
      <c r="F31" s="47"/>
      <c r="G31" s="47"/>
      <c r="H31" s="53"/>
    </row>
    <row r="32" spans="1:8">
      <c r="B32" s="46"/>
      <c r="C32" s="46"/>
      <c r="D32" s="46"/>
      <c r="E32" s="46"/>
      <c r="F32" s="47"/>
      <c r="G32" s="47"/>
      <c r="H32" s="53"/>
    </row>
    <row r="33" spans="2:8">
      <c r="B33" s="46"/>
      <c r="C33" s="46"/>
      <c r="D33" s="46"/>
      <c r="E33" s="46"/>
      <c r="F33" s="47"/>
      <c r="G33" s="47"/>
      <c r="H33" s="53"/>
    </row>
    <row r="34" spans="2:8">
      <c r="B34" s="46"/>
      <c r="C34" s="46"/>
      <c r="D34" s="46"/>
      <c r="E34" s="46"/>
      <c r="F34" s="47"/>
      <c r="G34" s="47"/>
      <c r="H34" s="53"/>
    </row>
    <row r="35" spans="2:8">
      <c r="B35" s="46"/>
      <c r="C35" s="46"/>
      <c r="D35" s="46"/>
      <c r="E35" s="46"/>
      <c r="F35" s="47"/>
      <c r="G35" s="47"/>
      <c r="H35" s="53"/>
    </row>
    <row r="36" spans="2:8">
      <c r="B36" s="46"/>
      <c r="C36" s="46"/>
      <c r="D36" s="46"/>
      <c r="E36" s="46"/>
      <c r="F36" s="47"/>
      <c r="G36" s="47"/>
      <c r="H36" s="53"/>
    </row>
    <row r="37" spans="2:8">
      <c r="B37" s="46"/>
      <c r="C37" s="46"/>
      <c r="D37" s="46"/>
      <c r="E37" s="46"/>
      <c r="F37" s="47"/>
      <c r="G37" s="47"/>
      <c r="H37" s="53"/>
    </row>
    <row r="38" spans="2:8">
      <c r="B38" s="46"/>
      <c r="C38" s="46"/>
      <c r="D38" s="46"/>
      <c r="E38" s="46"/>
      <c r="F38" s="47"/>
      <c r="G38" s="47"/>
      <c r="H38" s="53"/>
    </row>
    <row r="39" spans="2:8">
      <c r="B39" s="46"/>
      <c r="C39" s="54"/>
      <c r="D39" s="54"/>
      <c r="E39" s="54"/>
      <c r="F39" s="55"/>
      <c r="G39" s="55"/>
    </row>
    <row r="40" spans="2:8">
      <c r="B40" s="46"/>
      <c r="C40" s="54"/>
      <c r="D40" s="54"/>
      <c r="E40" s="54"/>
      <c r="F40" s="55"/>
      <c r="G40" s="55"/>
    </row>
    <row r="41" spans="2:8">
      <c r="B41" s="46"/>
      <c r="C41" s="54"/>
      <c r="D41" s="54"/>
      <c r="E41" s="54"/>
      <c r="F41" s="55"/>
      <c r="G41" s="55"/>
    </row>
    <row r="42" spans="2:8">
      <c r="B42" s="46"/>
      <c r="C42" s="54"/>
      <c r="D42" s="54"/>
      <c r="E42" s="54"/>
      <c r="F42" s="55"/>
      <c r="G42" s="55"/>
    </row>
    <row r="43" spans="2:8">
      <c r="B43" s="46"/>
      <c r="C43" s="54"/>
      <c r="D43" s="54"/>
      <c r="E43" s="54"/>
      <c r="F43" s="55"/>
      <c r="G43" s="55"/>
    </row>
    <row r="44" spans="2:8">
      <c r="B44" s="46"/>
      <c r="C44" s="54"/>
      <c r="D44" s="54"/>
      <c r="E44" s="54"/>
      <c r="F44" s="55"/>
      <c r="G44" s="55"/>
    </row>
    <row r="45" spans="2:8">
      <c r="B45" s="46"/>
      <c r="C45" s="54"/>
      <c r="D45" s="54"/>
      <c r="E45" s="54"/>
      <c r="F45" s="55"/>
      <c r="G45" s="55"/>
    </row>
    <row r="46" spans="2:8">
      <c r="B46" s="46"/>
      <c r="C46" s="54"/>
      <c r="D46" s="54"/>
      <c r="E46" s="54"/>
      <c r="F46" s="55"/>
      <c r="G46" s="55"/>
    </row>
    <row r="47" spans="2:8">
      <c r="B47" s="46"/>
      <c r="C47" s="54"/>
      <c r="D47" s="54"/>
      <c r="E47" s="54"/>
      <c r="F47" s="55"/>
      <c r="G47" s="55"/>
    </row>
    <row r="48" spans="2:8">
      <c r="B48" s="46"/>
      <c r="C48" s="54"/>
      <c r="D48" s="54"/>
      <c r="E48" s="54"/>
      <c r="F48" s="55"/>
      <c r="G48" s="55"/>
    </row>
    <row r="49" spans="2:7">
      <c r="B49" s="46"/>
      <c r="C49" s="54"/>
      <c r="D49" s="54"/>
      <c r="E49" s="54"/>
      <c r="F49" s="55"/>
      <c r="G49" s="55"/>
    </row>
    <row r="50" spans="2:7">
      <c r="B50" s="46"/>
      <c r="C50" s="54"/>
      <c r="D50" s="54"/>
      <c r="E50" s="54"/>
      <c r="F50" s="55"/>
      <c r="G50" s="55"/>
    </row>
    <row r="51" spans="2:7">
      <c r="B51" s="46"/>
      <c r="C51" s="54"/>
      <c r="D51" s="54"/>
      <c r="E51" s="54"/>
      <c r="F51" s="55"/>
      <c r="G51" s="55"/>
    </row>
    <row r="52" spans="2:7">
      <c r="B52" s="46"/>
      <c r="C52" s="54"/>
      <c r="D52" s="54"/>
      <c r="E52" s="54"/>
      <c r="F52" s="55"/>
      <c r="G52" s="55"/>
    </row>
    <row r="53" spans="2:7">
      <c r="B53" s="46"/>
      <c r="C53" s="54"/>
      <c r="D53" s="54"/>
      <c r="E53" s="54"/>
      <c r="F53" s="55"/>
      <c r="G53" s="55"/>
    </row>
    <row r="54" spans="2:7">
      <c r="B54" s="46"/>
      <c r="C54" s="54"/>
      <c r="D54" s="54"/>
      <c r="E54" s="54"/>
      <c r="F54" s="55"/>
      <c r="G54" s="55"/>
    </row>
    <row r="55" spans="2:7">
      <c r="B55" s="46"/>
      <c r="C55" s="54"/>
      <c r="D55" s="54"/>
      <c r="E55" s="54"/>
      <c r="F55" s="55"/>
      <c r="G55" s="55"/>
    </row>
    <row r="56" spans="2:7">
      <c r="B56" s="46"/>
      <c r="C56" s="54"/>
      <c r="D56" s="54"/>
      <c r="E56" s="54"/>
      <c r="F56" s="55"/>
      <c r="G56" s="55"/>
    </row>
    <row r="57" spans="2:7">
      <c r="B57" s="46"/>
      <c r="C57" s="54"/>
      <c r="D57" s="54"/>
      <c r="E57" s="54"/>
      <c r="F57" s="55"/>
      <c r="G57" s="55"/>
    </row>
    <row r="58" spans="2:7">
      <c r="B58" s="46"/>
      <c r="C58" s="54"/>
      <c r="D58" s="54"/>
      <c r="E58" s="54"/>
      <c r="F58" s="55"/>
      <c r="G58" s="55"/>
    </row>
    <row r="59" spans="2:7">
      <c r="B59" s="46"/>
      <c r="C59" s="54"/>
      <c r="D59" s="54"/>
      <c r="E59" s="54"/>
      <c r="F59" s="55"/>
      <c r="G59" s="55"/>
    </row>
    <row r="60" spans="2:7">
      <c r="B60" s="46"/>
      <c r="C60" s="54"/>
      <c r="D60" s="54"/>
      <c r="E60" s="54"/>
      <c r="F60" s="55"/>
      <c r="G60" s="55"/>
    </row>
    <row r="61" spans="2:7">
      <c r="B61" s="46"/>
      <c r="C61" s="54"/>
      <c r="D61" s="54"/>
      <c r="E61" s="54"/>
      <c r="F61" s="55"/>
      <c r="G61" s="55"/>
    </row>
    <row r="62" spans="2:7">
      <c r="B62" s="46"/>
      <c r="C62" s="54"/>
      <c r="D62" s="54"/>
      <c r="E62" s="54"/>
      <c r="F62" s="55"/>
      <c r="G62" s="55"/>
    </row>
    <row r="63" spans="2:7">
      <c r="B63" s="46"/>
      <c r="C63" s="54"/>
      <c r="D63" s="54"/>
      <c r="E63" s="54"/>
      <c r="F63" s="55"/>
      <c r="G63" s="55"/>
    </row>
    <row r="64" spans="2:7">
      <c r="B64" s="46"/>
      <c r="C64" s="54"/>
      <c r="D64" s="54"/>
      <c r="E64" s="54"/>
      <c r="F64" s="55"/>
      <c r="G64" s="55"/>
    </row>
    <row r="65" spans="2:7">
      <c r="B65" s="46"/>
      <c r="C65" s="54"/>
      <c r="D65" s="54"/>
      <c r="E65" s="54"/>
      <c r="F65" s="55"/>
      <c r="G65" s="55"/>
    </row>
    <row r="66" spans="2:7">
      <c r="B66" s="46"/>
      <c r="C66" s="54"/>
      <c r="D66" s="54"/>
      <c r="E66" s="54"/>
      <c r="F66" s="55"/>
      <c r="G66" s="55"/>
    </row>
    <row r="67" spans="2:7">
      <c r="B67" s="46"/>
      <c r="C67" s="54"/>
      <c r="D67" s="54"/>
      <c r="E67" s="54"/>
      <c r="F67" s="55"/>
      <c r="G67" s="55"/>
    </row>
    <row r="68" spans="2:7">
      <c r="B68" s="46"/>
      <c r="C68" s="54"/>
      <c r="D68" s="54"/>
      <c r="E68" s="54"/>
      <c r="F68" s="55"/>
      <c r="G68" s="55"/>
    </row>
    <row r="69" spans="2:7">
      <c r="B69" s="46"/>
      <c r="C69" s="54"/>
      <c r="D69" s="54"/>
      <c r="E69" s="54"/>
      <c r="F69" s="55"/>
      <c r="G69" s="55"/>
    </row>
    <row r="70" spans="2:7">
      <c r="B70" s="46"/>
      <c r="C70" s="54"/>
      <c r="D70" s="54"/>
      <c r="E70" s="54"/>
      <c r="F70" s="55"/>
      <c r="G70" s="55"/>
    </row>
    <row r="71" spans="2:7">
      <c r="B71" s="46"/>
      <c r="C71" s="54"/>
      <c r="D71" s="54"/>
      <c r="E71" s="54"/>
      <c r="F71" s="56"/>
      <c r="G71" s="56"/>
    </row>
    <row r="72" spans="2:7">
      <c r="B72" s="46"/>
      <c r="C72" s="54"/>
      <c r="D72" s="54"/>
      <c r="E72" s="54"/>
      <c r="F72" s="56"/>
      <c r="G72" s="56"/>
    </row>
    <row r="73" spans="2:7">
      <c r="B73" s="46"/>
      <c r="C73" s="54"/>
      <c r="D73" s="54"/>
      <c r="E73" s="54"/>
      <c r="F73" s="56"/>
      <c r="G73" s="56"/>
    </row>
    <row r="74" spans="2:7">
      <c r="B74" s="46"/>
      <c r="C74" s="57"/>
      <c r="D74" s="57"/>
      <c r="E74" s="57"/>
      <c r="F74" s="56"/>
      <c r="G74" s="56"/>
    </row>
    <row r="75" spans="2:7">
      <c r="B75" s="46"/>
      <c r="C75" s="57"/>
      <c r="D75" s="57"/>
      <c r="E75" s="57"/>
      <c r="F75" s="56"/>
      <c r="G75" s="56"/>
    </row>
    <row r="76" spans="2:7">
      <c r="B76" s="46"/>
      <c r="C76" s="57"/>
      <c r="D76" s="57"/>
      <c r="E76" s="57"/>
      <c r="F76" s="56"/>
      <c r="G76" s="56"/>
    </row>
    <row r="77" spans="2:7">
      <c r="B77" s="46"/>
      <c r="C77" s="57"/>
      <c r="D77" s="57"/>
      <c r="E77" s="57"/>
      <c r="F77" s="56"/>
      <c r="G77" s="56"/>
    </row>
    <row r="78" spans="2:7">
      <c r="B78" s="46"/>
      <c r="C78" s="57"/>
      <c r="D78" s="57"/>
      <c r="E78" s="57"/>
      <c r="F78" s="56"/>
      <c r="G78" s="56"/>
    </row>
    <row r="79" spans="2:7">
      <c r="B79" s="46"/>
      <c r="C79" s="57"/>
      <c r="D79" s="57"/>
      <c r="E79" s="57"/>
      <c r="F79" s="56"/>
      <c r="G79" s="56"/>
    </row>
    <row r="80" spans="2:7">
      <c r="B80" s="46"/>
      <c r="C80" s="57"/>
      <c r="D80" s="57"/>
      <c r="E80" s="57"/>
      <c r="F80" s="56"/>
      <c r="G80" s="56"/>
    </row>
    <row r="81" spans="2:7">
      <c r="B81" s="46"/>
      <c r="C81" s="57"/>
      <c r="D81" s="57"/>
      <c r="E81" s="57"/>
      <c r="F81" s="56"/>
      <c r="G81" s="56"/>
    </row>
    <row r="82" spans="2:7">
      <c r="B82" s="46"/>
      <c r="C82" s="57"/>
      <c r="D82" s="57"/>
      <c r="E82" s="57"/>
      <c r="F82" s="56"/>
      <c r="G82" s="56"/>
    </row>
    <row r="83" spans="2:7">
      <c r="B83" s="46"/>
      <c r="C83" s="57"/>
      <c r="D83" s="57"/>
      <c r="E83" s="57"/>
      <c r="F83" s="56"/>
      <c r="G83" s="56"/>
    </row>
    <row r="84" spans="2:7">
      <c r="B84" s="46"/>
      <c r="C84" s="57"/>
      <c r="D84" s="57"/>
      <c r="E84" s="57"/>
      <c r="F84" s="56"/>
      <c r="G84" s="56"/>
    </row>
    <row r="85" spans="2:7">
      <c r="B85" s="46"/>
      <c r="C85" s="57"/>
      <c r="D85" s="57"/>
      <c r="E85" s="57"/>
      <c r="F85" s="56"/>
      <c r="G85" s="56"/>
    </row>
    <row r="86" spans="2:7">
      <c r="B86" s="46"/>
      <c r="C86" s="57"/>
      <c r="D86" s="57"/>
      <c r="E86" s="57"/>
      <c r="F86" s="56"/>
      <c r="G86" s="56"/>
    </row>
    <row r="87" spans="2:7">
      <c r="B87" s="46"/>
      <c r="C87" s="57"/>
      <c r="D87" s="57"/>
      <c r="E87" s="57"/>
      <c r="F87" s="56"/>
      <c r="G87" s="56"/>
    </row>
    <row r="88" spans="2:7">
      <c r="B88" s="46"/>
      <c r="C88" s="57"/>
      <c r="D88" s="57"/>
      <c r="E88" s="57"/>
      <c r="F88" s="56"/>
      <c r="G88" s="56"/>
    </row>
    <row r="89" spans="2:7">
      <c r="B89" s="46"/>
      <c r="C89" s="57"/>
      <c r="D89" s="57"/>
      <c r="E89" s="57"/>
      <c r="F89" s="56"/>
      <c r="G89" s="56"/>
    </row>
    <row r="90" spans="2:7">
      <c r="B90" s="46"/>
      <c r="C90" s="57"/>
      <c r="D90" s="57"/>
      <c r="E90" s="57"/>
      <c r="F90" s="56"/>
      <c r="G90" s="56"/>
    </row>
    <row r="91" spans="2:7">
      <c r="B91" s="46"/>
      <c r="C91" s="57"/>
      <c r="D91" s="57"/>
      <c r="E91" s="57"/>
      <c r="F91" s="56"/>
      <c r="G91" s="56"/>
    </row>
    <row r="92" spans="2:7">
      <c r="B92" s="46"/>
      <c r="C92" s="57"/>
      <c r="D92" s="57"/>
      <c r="E92" s="57"/>
      <c r="F92" s="56"/>
      <c r="G92" s="56"/>
    </row>
    <row r="93" spans="2:7">
      <c r="B93" s="46"/>
      <c r="C93" s="57"/>
      <c r="D93" s="57"/>
      <c r="E93" s="57"/>
      <c r="F93" s="56"/>
      <c r="G93" s="56"/>
    </row>
    <row r="94" spans="2:7">
      <c r="B94" s="46"/>
      <c r="C94" s="57"/>
      <c r="D94" s="57"/>
      <c r="E94" s="57"/>
      <c r="F94" s="56"/>
      <c r="G94" s="56"/>
    </row>
    <row r="95" spans="2:7">
      <c r="B95" s="46"/>
      <c r="C95" s="57"/>
      <c r="D95" s="57"/>
      <c r="E95" s="57"/>
      <c r="F95" s="56"/>
      <c r="G95" s="56"/>
    </row>
    <row r="96" spans="2:7">
      <c r="B96" s="46"/>
      <c r="C96" s="57"/>
      <c r="D96" s="57"/>
      <c r="E96" s="57"/>
      <c r="F96" s="56"/>
      <c r="G96" s="56"/>
    </row>
    <row r="97" spans="2:7">
      <c r="B97" s="46"/>
      <c r="C97" s="57"/>
      <c r="D97" s="57"/>
      <c r="E97" s="57"/>
      <c r="F97" s="56"/>
      <c r="G97" s="56"/>
    </row>
    <row r="98" spans="2:7">
      <c r="B98" s="58"/>
      <c r="C98" s="59"/>
      <c r="D98" s="59"/>
      <c r="E98" s="59"/>
    </row>
    <row r="99" spans="2:7">
      <c r="B99" s="58"/>
      <c r="C99" s="59"/>
      <c r="D99" s="59"/>
      <c r="E99" s="59"/>
    </row>
    <row r="100" spans="2:7">
      <c r="B100" s="58"/>
      <c r="C100" s="59"/>
      <c r="D100" s="59"/>
      <c r="E100" s="59"/>
    </row>
    <row r="101" spans="2:7">
      <c r="B101" s="58"/>
      <c r="C101" s="59"/>
      <c r="D101" s="59"/>
      <c r="E101" s="59"/>
    </row>
    <row r="102" spans="2:7">
      <c r="B102" s="58"/>
      <c r="C102" s="59"/>
      <c r="D102" s="59"/>
      <c r="E102" s="59"/>
    </row>
    <row r="103" spans="2:7">
      <c r="B103" s="58"/>
      <c r="C103" s="59"/>
      <c r="D103" s="59"/>
      <c r="E103" s="59"/>
    </row>
    <row r="104" spans="2:7">
      <c r="B104" s="58"/>
      <c r="C104" s="59"/>
      <c r="D104" s="59"/>
      <c r="E104" s="59"/>
    </row>
    <row r="105" spans="2:7">
      <c r="B105" s="58"/>
      <c r="C105" s="59"/>
      <c r="D105" s="59"/>
      <c r="E105" s="59"/>
    </row>
    <row r="106" spans="2:7">
      <c r="B106" s="58"/>
      <c r="C106" s="59"/>
      <c r="D106" s="59"/>
      <c r="E106" s="59"/>
    </row>
    <row r="107" spans="2:7">
      <c r="B107" s="58"/>
      <c r="C107" s="59"/>
      <c r="D107" s="59"/>
      <c r="E107" s="59"/>
    </row>
    <row r="108" spans="2:7">
      <c r="B108" s="58"/>
      <c r="C108" s="59"/>
      <c r="D108" s="59"/>
      <c r="E108" s="59"/>
    </row>
    <row r="109" spans="2:7">
      <c r="B109" s="58"/>
      <c r="C109" s="59"/>
      <c r="D109" s="59"/>
      <c r="E109" s="59"/>
    </row>
    <row r="110" spans="2:7">
      <c r="B110" s="58"/>
      <c r="C110" s="59"/>
      <c r="D110" s="59"/>
      <c r="E110" s="59"/>
    </row>
    <row r="111" spans="2:7">
      <c r="B111" s="58"/>
      <c r="C111" s="59"/>
      <c r="D111" s="59"/>
      <c r="E111" s="59"/>
    </row>
    <row r="112" spans="2:7">
      <c r="B112" s="58"/>
      <c r="C112" s="59"/>
      <c r="D112" s="59"/>
      <c r="E112" s="59"/>
    </row>
    <row r="113" spans="2:5">
      <c r="B113" s="58"/>
      <c r="C113" s="59"/>
      <c r="D113" s="59"/>
      <c r="E113" s="59"/>
    </row>
    <row r="114" spans="2:5">
      <c r="B114" s="59"/>
      <c r="C114" s="59"/>
      <c r="D114" s="59"/>
      <c r="E114" s="59"/>
    </row>
    <row r="115" spans="2:5">
      <c r="B115" s="59"/>
      <c r="C115" s="59"/>
      <c r="D115" s="59"/>
      <c r="E115" s="59"/>
    </row>
    <row r="116" spans="2:5">
      <c r="B116" s="59"/>
      <c r="C116" s="59"/>
      <c r="D116" s="59"/>
      <c r="E116" s="59"/>
    </row>
    <row r="117" spans="2:5">
      <c r="B117" s="59"/>
      <c r="C117" s="59"/>
      <c r="D117" s="59"/>
      <c r="E117" s="59"/>
    </row>
    <row r="118" spans="2:5">
      <c r="B118" s="59"/>
      <c r="C118" s="59"/>
      <c r="D118" s="59"/>
      <c r="E118" s="59"/>
    </row>
    <row r="119" spans="2:5">
      <c r="B119" s="59"/>
      <c r="C119" s="59"/>
      <c r="D119" s="59"/>
      <c r="E119" s="59"/>
    </row>
    <row r="120" spans="2:5">
      <c r="B120" s="59"/>
      <c r="C120" s="59"/>
      <c r="D120" s="59"/>
      <c r="E120" s="59"/>
    </row>
    <row r="121" spans="2:5">
      <c r="B121" s="59"/>
      <c r="C121" s="59"/>
      <c r="D121" s="59"/>
      <c r="E121" s="59"/>
    </row>
    <row r="122" spans="2:5">
      <c r="B122" s="59"/>
      <c r="C122" s="59"/>
      <c r="D122" s="59"/>
      <c r="E122" s="59"/>
    </row>
    <row r="123" spans="2:5">
      <c r="B123" s="59"/>
      <c r="C123" s="59"/>
      <c r="D123" s="59"/>
      <c r="E123" s="59"/>
    </row>
    <row r="124" spans="2:5">
      <c r="B124" s="59"/>
      <c r="C124" s="59"/>
      <c r="D124" s="59"/>
      <c r="E124" s="59"/>
    </row>
    <row r="125" spans="2:5">
      <c r="B125" s="59"/>
      <c r="C125" s="59"/>
      <c r="D125" s="59"/>
      <c r="E125" s="59"/>
    </row>
    <row r="126" spans="2:5">
      <c r="B126" s="59"/>
      <c r="C126" s="59"/>
      <c r="D126" s="59"/>
      <c r="E126" s="59"/>
    </row>
    <row r="127" spans="2:5">
      <c r="B127" s="59"/>
      <c r="C127" s="59"/>
      <c r="D127" s="59"/>
      <c r="E127" s="59"/>
    </row>
    <row r="128" spans="2:5">
      <c r="B128" s="59"/>
      <c r="C128" s="59"/>
      <c r="D128" s="59"/>
      <c r="E128" s="59"/>
    </row>
    <row r="129" spans="2:5">
      <c r="B129" s="59"/>
      <c r="C129" s="59"/>
      <c r="D129" s="59"/>
      <c r="E129" s="59"/>
    </row>
    <row r="130" spans="2:5">
      <c r="B130" s="59"/>
      <c r="C130" s="59"/>
      <c r="D130" s="59"/>
      <c r="E130" s="59"/>
    </row>
    <row r="131" spans="2:5">
      <c r="B131" s="59"/>
      <c r="C131" s="59"/>
      <c r="D131" s="59"/>
      <c r="E131" s="59"/>
    </row>
    <row r="132" spans="2:5">
      <c r="B132" s="59"/>
      <c r="C132" s="59"/>
      <c r="D132" s="59"/>
      <c r="E132" s="59"/>
    </row>
    <row r="133" spans="2:5">
      <c r="B133" s="59"/>
      <c r="C133" s="59"/>
      <c r="D133" s="59"/>
      <c r="E133" s="59"/>
    </row>
    <row r="134" spans="2:5">
      <c r="B134" s="59"/>
      <c r="C134" s="59"/>
      <c r="D134" s="59"/>
      <c r="E134" s="59"/>
    </row>
    <row r="135" spans="2:5">
      <c r="B135" s="59"/>
      <c r="C135" s="59"/>
      <c r="D135" s="59"/>
      <c r="E135" s="59"/>
    </row>
    <row r="136" spans="2:5">
      <c r="B136" s="59"/>
      <c r="C136" s="59"/>
      <c r="D136" s="59"/>
      <c r="E136" s="59"/>
    </row>
    <row r="137" spans="2:5">
      <c r="B137" s="59"/>
      <c r="C137" s="59"/>
      <c r="D137" s="59"/>
      <c r="E137" s="59"/>
    </row>
    <row r="138" spans="2:5">
      <c r="B138" s="59"/>
      <c r="C138" s="59"/>
      <c r="D138" s="59"/>
      <c r="E138" s="59"/>
    </row>
    <row r="139" spans="2:5">
      <c r="B139" s="59"/>
      <c r="C139" s="59"/>
      <c r="D139" s="59"/>
      <c r="E139" s="59"/>
    </row>
    <row r="140" spans="2:5">
      <c r="B140" s="59"/>
      <c r="C140" s="59"/>
      <c r="D140" s="59"/>
      <c r="E140" s="59"/>
    </row>
    <row r="141" spans="2:5">
      <c r="B141" s="59"/>
      <c r="C141" s="59"/>
      <c r="D141" s="59"/>
      <c r="E141" s="59"/>
    </row>
    <row r="142" spans="2:5">
      <c r="B142" s="59"/>
      <c r="C142" s="59"/>
      <c r="D142" s="59"/>
      <c r="E142" s="59"/>
    </row>
    <row r="143" spans="2:5">
      <c r="B143" s="59"/>
      <c r="C143" s="59"/>
      <c r="D143" s="59"/>
      <c r="E143" s="59"/>
    </row>
    <row r="144" spans="2:5">
      <c r="B144" s="59"/>
      <c r="C144" s="59"/>
      <c r="D144" s="59"/>
      <c r="E144" s="59"/>
    </row>
    <row r="145" spans="2:5">
      <c r="B145" s="59"/>
      <c r="C145" s="59"/>
      <c r="D145" s="59"/>
      <c r="E145" s="59"/>
    </row>
    <row r="146" spans="2:5">
      <c r="B146" s="59"/>
      <c r="C146" s="59"/>
      <c r="D146" s="59"/>
      <c r="E146" s="59"/>
    </row>
    <row r="147" spans="2:5">
      <c r="B147" s="59"/>
      <c r="C147" s="59"/>
      <c r="D147" s="59"/>
      <c r="E147" s="59"/>
    </row>
    <row r="148" spans="2:5">
      <c r="B148" s="59"/>
      <c r="C148" s="59"/>
      <c r="D148" s="59"/>
      <c r="E148" s="59"/>
    </row>
    <row r="149" spans="2:5">
      <c r="B149" s="59"/>
      <c r="C149" s="59"/>
      <c r="D149" s="59"/>
      <c r="E149" s="59"/>
    </row>
    <row r="150" spans="2:5">
      <c r="B150" s="59"/>
      <c r="C150" s="59"/>
      <c r="D150" s="59"/>
      <c r="E150" s="59"/>
    </row>
  </sheetData>
  <mergeCells count="25">
    <mergeCell ref="H22:H23"/>
    <mergeCell ref="B13:B14"/>
    <mergeCell ref="A16:A17"/>
    <mergeCell ref="B16:B17"/>
    <mergeCell ref="A13:A14"/>
    <mergeCell ref="B1:F1"/>
    <mergeCell ref="A2:H2"/>
    <mergeCell ref="B11:B12"/>
    <mergeCell ref="A3:A4"/>
    <mergeCell ref="B3:B4"/>
    <mergeCell ref="C3:C4"/>
    <mergeCell ref="D3:D4"/>
    <mergeCell ref="F3:G3"/>
    <mergeCell ref="H3:H4"/>
    <mergeCell ref="E3:E4"/>
    <mergeCell ref="A11:A12"/>
    <mergeCell ref="A7:A8"/>
    <mergeCell ref="B7:B8"/>
    <mergeCell ref="C7:C8"/>
    <mergeCell ref="A24:D24"/>
    <mergeCell ref="A19:A20"/>
    <mergeCell ref="B19:B20"/>
    <mergeCell ref="A22:A23"/>
    <mergeCell ref="B22:B23"/>
    <mergeCell ref="C22:C23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80" orientation="landscape" r:id="rId1"/>
  <headerFooter>
    <oddFooter>Strona &amp;P z &amp;N</oddFooter>
  </headerFooter>
  <rowBreaks count="1" manualBreakCount="1">
    <brk id="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H24"/>
  <sheetViews>
    <sheetView view="pageBreakPreview" zoomScaleNormal="100" zoomScaleSheetLayoutView="100" workbookViewId="0">
      <selection activeCell="F1" sqref="F1:H1"/>
    </sheetView>
  </sheetViews>
  <sheetFormatPr defaultRowHeight="12.75"/>
  <cols>
    <col min="1" max="1" width="10.7109375" style="1" customWidth="1"/>
    <col min="2" max="2" width="10.5703125" style="1" customWidth="1"/>
    <col min="3" max="3" width="17.140625" style="1" customWidth="1"/>
    <col min="4" max="4" width="12.140625" style="1" customWidth="1"/>
    <col min="5" max="5" width="15.85546875" style="1" customWidth="1"/>
    <col min="6" max="7" width="19" style="1" customWidth="1"/>
    <col min="8" max="8" width="52.5703125" style="1" customWidth="1"/>
    <col min="9" max="258" width="9.140625" style="1"/>
    <col min="259" max="259" width="10.7109375" style="1" customWidth="1"/>
    <col min="260" max="260" width="10.5703125" style="1" customWidth="1"/>
    <col min="261" max="261" width="10.28515625" style="1" customWidth="1"/>
    <col min="262" max="262" width="13.28515625" style="1" customWidth="1"/>
    <col min="263" max="263" width="13.42578125" style="1" customWidth="1"/>
    <col min="264" max="264" width="54.42578125" style="1" customWidth="1"/>
    <col min="265" max="514" width="9.140625" style="1"/>
    <col min="515" max="515" width="10.7109375" style="1" customWidth="1"/>
    <col min="516" max="516" width="10.5703125" style="1" customWidth="1"/>
    <col min="517" max="517" width="10.28515625" style="1" customWidth="1"/>
    <col min="518" max="518" width="13.28515625" style="1" customWidth="1"/>
    <col min="519" max="519" width="13.42578125" style="1" customWidth="1"/>
    <col min="520" max="520" width="54.42578125" style="1" customWidth="1"/>
    <col min="521" max="770" width="9.140625" style="1"/>
    <col min="771" max="771" width="10.7109375" style="1" customWidth="1"/>
    <col min="772" max="772" width="10.5703125" style="1" customWidth="1"/>
    <col min="773" max="773" width="10.28515625" style="1" customWidth="1"/>
    <col min="774" max="774" width="13.28515625" style="1" customWidth="1"/>
    <col min="775" max="775" width="13.42578125" style="1" customWidth="1"/>
    <col min="776" max="776" width="54.42578125" style="1" customWidth="1"/>
    <col min="777" max="1026" width="9.140625" style="1"/>
    <col min="1027" max="1027" width="10.7109375" style="1" customWidth="1"/>
    <col min="1028" max="1028" width="10.5703125" style="1" customWidth="1"/>
    <col min="1029" max="1029" width="10.28515625" style="1" customWidth="1"/>
    <col min="1030" max="1030" width="13.28515625" style="1" customWidth="1"/>
    <col min="1031" max="1031" width="13.42578125" style="1" customWidth="1"/>
    <col min="1032" max="1032" width="54.42578125" style="1" customWidth="1"/>
    <col min="1033" max="1282" width="9.140625" style="1"/>
    <col min="1283" max="1283" width="10.7109375" style="1" customWidth="1"/>
    <col min="1284" max="1284" width="10.5703125" style="1" customWidth="1"/>
    <col min="1285" max="1285" width="10.28515625" style="1" customWidth="1"/>
    <col min="1286" max="1286" width="13.28515625" style="1" customWidth="1"/>
    <col min="1287" max="1287" width="13.42578125" style="1" customWidth="1"/>
    <col min="1288" max="1288" width="54.42578125" style="1" customWidth="1"/>
    <col min="1289" max="1538" width="9.140625" style="1"/>
    <col min="1539" max="1539" width="10.7109375" style="1" customWidth="1"/>
    <col min="1540" max="1540" width="10.5703125" style="1" customWidth="1"/>
    <col min="1541" max="1541" width="10.28515625" style="1" customWidth="1"/>
    <col min="1542" max="1542" width="13.28515625" style="1" customWidth="1"/>
    <col min="1543" max="1543" width="13.42578125" style="1" customWidth="1"/>
    <col min="1544" max="1544" width="54.42578125" style="1" customWidth="1"/>
    <col min="1545" max="1794" width="9.140625" style="1"/>
    <col min="1795" max="1795" width="10.7109375" style="1" customWidth="1"/>
    <col min="1796" max="1796" width="10.5703125" style="1" customWidth="1"/>
    <col min="1797" max="1797" width="10.28515625" style="1" customWidth="1"/>
    <col min="1798" max="1798" width="13.28515625" style="1" customWidth="1"/>
    <col min="1799" max="1799" width="13.42578125" style="1" customWidth="1"/>
    <col min="1800" max="1800" width="54.42578125" style="1" customWidth="1"/>
    <col min="1801" max="2050" width="9.140625" style="1"/>
    <col min="2051" max="2051" width="10.7109375" style="1" customWidth="1"/>
    <col min="2052" max="2052" width="10.5703125" style="1" customWidth="1"/>
    <col min="2053" max="2053" width="10.28515625" style="1" customWidth="1"/>
    <col min="2054" max="2054" width="13.28515625" style="1" customWidth="1"/>
    <col min="2055" max="2055" width="13.42578125" style="1" customWidth="1"/>
    <col min="2056" max="2056" width="54.42578125" style="1" customWidth="1"/>
    <col min="2057" max="2306" width="9.140625" style="1"/>
    <col min="2307" max="2307" width="10.7109375" style="1" customWidth="1"/>
    <col min="2308" max="2308" width="10.5703125" style="1" customWidth="1"/>
    <col min="2309" max="2309" width="10.28515625" style="1" customWidth="1"/>
    <col min="2310" max="2310" width="13.28515625" style="1" customWidth="1"/>
    <col min="2311" max="2311" width="13.42578125" style="1" customWidth="1"/>
    <col min="2312" max="2312" width="54.42578125" style="1" customWidth="1"/>
    <col min="2313" max="2562" width="9.140625" style="1"/>
    <col min="2563" max="2563" width="10.7109375" style="1" customWidth="1"/>
    <col min="2564" max="2564" width="10.5703125" style="1" customWidth="1"/>
    <col min="2565" max="2565" width="10.28515625" style="1" customWidth="1"/>
    <col min="2566" max="2566" width="13.28515625" style="1" customWidth="1"/>
    <col min="2567" max="2567" width="13.42578125" style="1" customWidth="1"/>
    <col min="2568" max="2568" width="54.42578125" style="1" customWidth="1"/>
    <col min="2569" max="2818" width="9.140625" style="1"/>
    <col min="2819" max="2819" width="10.7109375" style="1" customWidth="1"/>
    <col min="2820" max="2820" width="10.5703125" style="1" customWidth="1"/>
    <col min="2821" max="2821" width="10.28515625" style="1" customWidth="1"/>
    <col min="2822" max="2822" width="13.28515625" style="1" customWidth="1"/>
    <col min="2823" max="2823" width="13.42578125" style="1" customWidth="1"/>
    <col min="2824" max="2824" width="54.42578125" style="1" customWidth="1"/>
    <col min="2825" max="3074" width="9.140625" style="1"/>
    <col min="3075" max="3075" width="10.7109375" style="1" customWidth="1"/>
    <col min="3076" max="3076" width="10.5703125" style="1" customWidth="1"/>
    <col min="3077" max="3077" width="10.28515625" style="1" customWidth="1"/>
    <col min="3078" max="3078" width="13.28515625" style="1" customWidth="1"/>
    <col min="3079" max="3079" width="13.42578125" style="1" customWidth="1"/>
    <col min="3080" max="3080" width="54.42578125" style="1" customWidth="1"/>
    <col min="3081" max="3330" width="9.140625" style="1"/>
    <col min="3331" max="3331" width="10.7109375" style="1" customWidth="1"/>
    <col min="3332" max="3332" width="10.5703125" style="1" customWidth="1"/>
    <col min="3333" max="3333" width="10.28515625" style="1" customWidth="1"/>
    <col min="3334" max="3334" width="13.28515625" style="1" customWidth="1"/>
    <col min="3335" max="3335" width="13.42578125" style="1" customWidth="1"/>
    <col min="3336" max="3336" width="54.42578125" style="1" customWidth="1"/>
    <col min="3337" max="3586" width="9.140625" style="1"/>
    <col min="3587" max="3587" width="10.7109375" style="1" customWidth="1"/>
    <col min="3588" max="3588" width="10.5703125" style="1" customWidth="1"/>
    <col min="3589" max="3589" width="10.28515625" style="1" customWidth="1"/>
    <col min="3590" max="3590" width="13.28515625" style="1" customWidth="1"/>
    <col min="3591" max="3591" width="13.42578125" style="1" customWidth="1"/>
    <col min="3592" max="3592" width="54.42578125" style="1" customWidth="1"/>
    <col min="3593" max="3842" width="9.140625" style="1"/>
    <col min="3843" max="3843" width="10.7109375" style="1" customWidth="1"/>
    <col min="3844" max="3844" width="10.5703125" style="1" customWidth="1"/>
    <col min="3845" max="3845" width="10.28515625" style="1" customWidth="1"/>
    <col min="3846" max="3846" width="13.28515625" style="1" customWidth="1"/>
    <col min="3847" max="3847" width="13.42578125" style="1" customWidth="1"/>
    <col min="3848" max="3848" width="54.42578125" style="1" customWidth="1"/>
    <col min="3849" max="4098" width="9.140625" style="1"/>
    <col min="4099" max="4099" width="10.7109375" style="1" customWidth="1"/>
    <col min="4100" max="4100" width="10.5703125" style="1" customWidth="1"/>
    <col min="4101" max="4101" width="10.28515625" style="1" customWidth="1"/>
    <col min="4102" max="4102" width="13.28515625" style="1" customWidth="1"/>
    <col min="4103" max="4103" width="13.42578125" style="1" customWidth="1"/>
    <col min="4104" max="4104" width="54.42578125" style="1" customWidth="1"/>
    <col min="4105" max="4354" width="9.140625" style="1"/>
    <col min="4355" max="4355" width="10.7109375" style="1" customWidth="1"/>
    <col min="4356" max="4356" width="10.5703125" style="1" customWidth="1"/>
    <col min="4357" max="4357" width="10.28515625" style="1" customWidth="1"/>
    <col min="4358" max="4358" width="13.28515625" style="1" customWidth="1"/>
    <col min="4359" max="4359" width="13.42578125" style="1" customWidth="1"/>
    <col min="4360" max="4360" width="54.42578125" style="1" customWidth="1"/>
    <col min="4361" max="4610" width="9.140625" style="1"/>
    <col min="4611" max="4611" width="10.7109375" style="1" customWidth="1"/>
    <col min="4612" max="4612" width="10.5703125" style="1" customWidth="1"/>
    <col min="4613" max="4613" width="10.28515625" style="1" customWidth="1"/>
    <col min="4614" max="4614" width="13.28515625" style="1" customWidth="1"/>
    <col min="4615" max="4615" width="13.42578125" style="1" customWidth="1"/>
    <col min="4616" max="4616" width="54.42578125" style="1" customWidth="1"/>
    <col min="4617" max="4866" width="9.140625" style="1"/>
    <col min="4867" max="4867" width="10.7109375" style="1" customWidth="1"/>
    <col min="4868" max="4868" width="10.5703125" style="1" customWidth="1"/>
    <col min="4869" max="4869" width="10.28515625" style="1" customWidth="1"/>
    <col min="4870" max="4870" width="13.28515625" style="1" customWidth="1"/>
    <col min="4871" max="4871" width="13.42578125" style="1" customWidth="1"/>
    <col min="4872" max="4872" width="54.42578125" style="1" customWidth="1"/>
    <col min="4873" max="5122" width="9.140625" style="1"/>
    <col min="5123" max="5123" width="10.7109375" style="1" customWidth="1"/>
    <col min="5124" max="5124" width="10.5703125" style="1" customWidth="1"/>
    <col min="5125" max="5125" width="10.28515625" style="1" customWidth="1"/>
    <col min="5126" max="5126" width="13.28515625" style="1" customWidth="1"/>
    <col min="5127" max="5127" width="13.42578125" style="1" customWidth="1"/>
    <col min="5128" max="5128" width="54.42578125" style="1" customWidth="1"/>
    <col min="5129" max="5378" width="9.140625" style="1"/>
    <col min="5379" max="5379" width="10.7109375" style="1" customWidth="1"/>
    <col min="5380" max="5380" width="10.5703125" style="1" customWidth="1"/>
    <col min="5381" max="5381" width="10.28515625" style="1" customWidth="1"/>
    <col min="5382" max="5382" width="13.28515625" style="1" customWidth="1"/>
    <col min="5383" max="5383" width="13.42578125" style="1" customWidth="1"/>
    <col min="5384" max="5384" width="54.42578125" style="1" customWidth="1"/>
    <col min="5385" max="5634" width="9.140625" style="1"/>
    <col min="5635" max="5635" width="10.7109375" style="1" customWidth="1"/>
    <col min="5636" max="5636" width="10.5703125" style="1" customWidth="1"/>
    <col min="5637" max="5637" width="10.28515625" style="1" customWidth="1"/>
    <col min="5638" max="5638" width="13.28515625" style="1" customWidth="1"/>
    <col min="5639" max="5639" width="13.42578125" style="1" customWidth="1"/>
    <col min="5640" max="5640" width="54.42578125" style="1" customWidth="1"/>
    <col min="5641" max="5890" width="9.140625" style="1"/>
    <col min="5891" max="5891" width="10.7109375" style="1" customWidth="1"/>
    <col min="5892" max="5892" width="10.5703125" style="1" customWidth="1"/>
    <col min="5893" max="5893" width="10.28515625" style="1" customWidth="1"/>
    <col min="5894" max="5894" width="13.28515625" style="1" customWidth="1"/>
    <col min="5895" max="5895" width="13.42578125" style="1" customWidth="1"/>
    <col min="5896" max="5896" width="54.42578125" style="1" customWidth="1"/>
    <col min="5897" max="6146" width="9.140625" style="1"/>
    <col min="6147" max="6147" width="10.7109375" style="1" customWidth="1"/>
    <col min="6148" max="6148" width="10.5703125" style="1" customWidth="1"/>
    <col min="6149" max="6149" width="10.28515625" style="1" customWidth="1"/>
    <col min="6150" max="6150" width="13.28515625" style="1" customWidth="1"/>
    <col min="6151" max="6151" width="13.42578125" style="1" customWidth="1"/>
    <col min="6152" max="6152" width="54.42578125" style="1" customWidth="1"/>
    <col min="6153" max="6402" width="9.140625" style="1"/>
    <col min="6403" max="6403" width="10.7109375" style="1" customWidth="1"/>
    <col min="6404" max="6404" width="10.5703125" style="1" customWidth="1"/>
    <col min="6405" max="6405" width="10.28515625" style="1" customWidth="1"/>
    <col min="6406" max="6406" width="13.28515625" style="1" customWidth="1"/>
    <col min="6407" max="6407" width="13.42578125" style="1" customWidth="1"/>
    <col min="6408" max="6408" width="54.42578125" style="1" customWidth="1"/>
    <col min="6409" max="6658" width="9.140625" style="1"/>
    <col min="6659" max="6659" width="10.7109375" style="1" customWidth="1"/>
    <col min="6660" max="6660" width="10.5703125" style="1" customWidth="1"/>
    <col min="6661" max="6661" width="10.28515625" style="1" customWidth="1"/>
    <col min="6662" max="6662" width="13.28515625" style="1" customWidth="1"/>
    <col min="6663" max="6663" width="13.42578125" style="1" customWidth="1"/>
    <col min="6664" max="6664" width="54.42578125" style="1" customWidth="1"/>
    <col min="6665" max="6914" width="9.140625" style="1"/>
    <col min="6915" max="6915" width="10.7109375" style="1" customWidth="1"/>
    <col min="6916" max="6916" width="10.5703125" style="1" customWidth="1"/>
    <col min="6917" max="6917" width="10.28515625" style="1" customWidth="1"/>
    <col min="6918" max="6918" width="13.28515625" style="1" customWidth="1"/>
    <col min="6919" max="6919" width="13.42578125" style="1" customWidth="1"/>
    <col min="6920" max="6920" width="54.42578125" style="1" customWidth="1"/>
    <col min="6921" max="7170" width="9.140625" style="1"/>
    <col min="7171" max="7171" width="10.7109375" style="1" customWidth="1"/>
    <col min="7172" max="7172" width="10.5703125" style="1" customWidth="1"/>
    <col min="7173" max="7173" width="10.28515625" style="1" customWidth="1"/>
    <col min="7174" max="7174" width="13.28515625" style="1" customWidth="1"/>
    <col min="7175" max="7175" width="13.42578125" style="1" customWidth="1"/>
    <col min="7176" max="7176" width="54.42578125" style="1" customWidth="1"/>
    <col min="7177" max="7426" width="9.140625" style="1"/>
    <col min="7427" max="7427" width="10.7109375" style="1" customWidth="1"/>
    <col min="7428" max="7428" width="10.5703125" style="1" customWidth="1"/>
    <col min="7429" max="7429" width="10.28515625" style="1" customWidth="1"/>
    <col min="7430" max="7430" width="13.28515625" style="1" customWidth="1"/>
    <col min="7431" max="7431" width="13.42578125" style="1" customWidth="1"/>
    <col min="7432" max="7432" width="54.42578125" style="1" customWidth="1"/>
    <col min="7433" max="7682" width="9.140625" style="1"/>
    <col min="7683" max="7683" width="10.7109375" style="1" customWidth="1"/>
    <col min="7684" max="7684" width="10.5703125" style="1" customWidth="1"/>
    <col min="7685" max="7685" width="10.28515625" style="1" customWidth="1"/>
    <col min="7686" max="7686" width="13.28515625" style="1" customWidth="1"/>
    <col min="7687" max="7687" width="13.42578125" style="1" customWidth="1"/>
    <col min="7688" max="7688" width="54.42578125" style="1" customWidth="1"/>
    <col min="7689" max="7938" width="9.140625" style="1"/>
    <col min="7939" max="7939" width="10.7109375" style="1" customWidth="1"/>
    <col min="7940" max="7940" width="10.5703125" style="1" customWidth="1"/>
    <col min="7941" max="7941" width="10.28515625" style="1" customWidth="1"/>
    <col min="7942" max="7942" width="13.28515625" style="1" customWidth="1"/>
    <col min="7943" max="7943" width="13.42578125" style="1" customWidth="1"/>
    <col min="7944" max="7944" width="54.42578125" style="1" customWidth="1"/>
    <col min="7945" max="8194" width="9.140625" style="1"/>
    <col min="8195" max="8195" width="10.7109375" style="1" customWidth="1"/>
    <col min="8196" max="8196" width="10.5703125" style="1" customWidth="1"/>
    <col min="8197" max="8197" width="10.28515625" style="1" customWidth="1"/>
    <col min="8198" max="8198" width="13.28515625" style="1" customWidth="1"/>
    <col min="8199" max="8199" width="13.42578125" style="1" customWidth="1"/>
    <col min="8200" max="8200" width="54.42578125" style="1" customWidth="1"/>
    <col min="8201" max="8450" width="9.140625" style="1"/>
    <col min="8451" max="8451" width="10.7109375" style="1" customWidth="1"/>
    <col min="8452" max="8452" width="10.5703125" style="1" customWidth="1"/>
    <col min="8453" max="8453" width="10.28515625" style="1" customWidth="1"/>
    <col min="8454" max="8454" width="13.28515625" style="1" customWidth="1"/>
    <col min="8455" max="8455" width="13.42578125" style="1" customWidth="1"/>
    <col min="8456" max="8456" width="54.42578125" style="1" customWidth="1"/>
    <col min="8457" max="8706" width="9.140625" style="1"/>
    <col min="8707" max="8707" width="10.7109375" style="1" customWidth="1"/>
    <col min="8708" max="8708" width="10.5703125" style="1" customWidth="1"/>
    <col min="8709" max="8709" width="10.28515625" style="1" customWidth="1"/>
    <col min="8710" max="8710" width="13.28515625" style="1" customWidth="1"/>
    <col min="8711" max="8711" width="13.42578125" style="1" customWidth="1"/>
    <col min="8712" max="8712" width="54.42578125" style="1" customWidth="1"/>
    <col min="8713" max="8962" width="9.140625" style="1"/>
    <col min="8963" max="8963" width="10.7109375" style="1" customWidth="1"/>
    <col min="8964" max="8964" width="10.5703125" style="1" customWidth="1"/>
    <col min="8965" max="8965" width="10.28515625" style="1" customWidth="1"/>
    <col min="8966" max="8966" width="13.28515625" style="1" customWidth="1"/>
    <col min="8967" max="8967" width="13.42578125" style="1" customWidth="1"/>
    <col min="8968" max="8968" width="54.42578125" style="1" customWidth="1"/>
    <col min="8969" max="9218" width="9.140625" style="1"/>
    <col min="9219" max="9219" width="10.7109375" style="1" customWidth="1"/>
    <col min="9220" max="9220" width="10.5703125" style="1" customWidth="1"/>
    <col min="9221" max="9221" width="10.28515625" style="1" customWidth="1"/>
    <col min="9222" max="9222" width="13.28515625" style="1" customWidth="1"/>
    <col min="9223" max="9223" width="13.42578125" style="1" customWidth="1"/>
    <col min="9224" max="9224" width="54.42578125" style="1" customWidth="1"/>
    <col min="9225" max="9474" width="9.140625" style="1"/>
    <col min="9475" max="9475" width="10.7109375" style="1" customWidth="1"/>
    <col min="9476" max="9476" width="10.5703125" style="1" customWidth="1"/>
    <col min="9477" max="9477" width="10.28515625" style="1" customWidth="1"/>
    <col min="9478" max="9478" width="13.28515625" style="1" customWidth="1"/>
    <col min="9479" max="9479" width="13.42578125" style="1" customWidth="1"/>
    <col min="9480" max="9480" width="54.42578125" style="1" customWidth="1"/>
    <col min="9481" max="9730" width="9.140625" style="1"/>
    <col min="9731" max="9731" width="10.7109375" style="1" customWidth="1"/>
    <col min="9732" max="9732" width="10.5703125" style="1" customWidth="1"/>
    <col min="9733" max="9733" width="10.28515625" style="1" customWidth="1"/>
    <col min="9734" max="9734" width="13.28515625" style="1" customWidth="1"/>
    <col min="9735" max="9735" width="13.42578125" style="1" customWidth="1"/>
    <col min="9736" max="9736" width="54.42578125" style="1" customWidth="1"/>
    <col min="9737" max="9986" width="9.140625" style="1"/>
    <col min="9987" max="9987" width="10.7109375" style="1" customWidth="1"/>
    <col min="9988" max="9988" width="10.5703125" style="1" customWidth="1"/>
    <col min="9989" max="9989" width="10.28515625" style="1" customWidth="1"/>
    <col min="9990" max="9990" width="13.28515625" style="1" customWidth="1"/>
    <col min="9991" max="9991" width="13.42578125" style="1" customWidth="1"/>
    <col min="9992" max="9992" width="54.42578125" style="1" customWidth="1"/>
    <col min="9993" max="10242" width="9.140625" style="1"/>
    <col min="10243" max="10243" width="10.7109375" style="1" customWidth="1"/>
    <col min="10244" max="10244" width="10.5703125" style="1" customWidth="1"/>
    <col min="10245" max="10245" width="10.28515625" style="1" customWidth="1"/>
    <col min="10246" max="10246" width="13.28515625" style="1" customWidth="1"/>
    <col min="10247" max="10247" width="13.42578125" style="1" customWidth="1"/>
    <col min="10248" max="10248" width="54.42578125" style="1" customWidth="1"/>
    <col min="10249" max="10498" width="9.140625" style="1"/>
    <col min="10499" max="10499" width="10.7109375" style="1" customWidth="1"/>
    <col min="10500" max="10500" width="10.5703125" style="1" customWidth="1"/>
    <col min="10501" max="10501" width="10.28515625" style="1" customWidth="1"/>
    <col min="10502" max="10502" width="13.28515625" style="1" customWidth="1"/>
    <col min="10503" max="10503" width="13.42578125" style="1" customWidth="1"/>
    <col min="10504" max="10504" width="54.42578125" style="1" customWidth="1"/>
    <col min="10505" max="10754" width="9.140625" style="1"/>
    <col min="10755" max="10755" width="10.7109375" style="1" customWidth="1"/>
    <col min="10756" max="10756" width="10.5703125" style="1" customWidth="1"/>
    <col min="10757" max="10757" width="10.28515625" style="1" customWidth="1"/>
    <col min="10758" max="10758" width="13.28515625" style="1" customWidth="1"/>
    <col min="10759" max="10759" width="13.42578125" style="1" customWidth="1"/>
    <col min="10760" max="10760" width="54.42578125" style="1" customWidth="1"/>
    <col min="10761" max="11010" width="9.140625" style="1"/>
    <col min="11011" max="11011" width="10.7109375" style="1" customWidth="1"/>
    <col min="11012" max="11012" width="10.5703125" style="1" customWidth="1"/>
    <col min="11013" max="11013" width="10.28515625" style="1" customWidth="1"/>
    <col min="11014" max="11014" width="13.28515625" style="1" customWidth="1"/>
    <col min="11015" max="11015" width="13.42578125" style="1" customWidth="1"/>
    <col min="11016" max="11016" width="54.42578125" style="1" customWidth="1"/>
    <col min="11017" max="11266" width="9.140625" style="1"/>
    <col min="11267" max="11267" width="10.7109375" style="1" customWidth="1"/>
    <col min="11268" max="11268" width="10.5703125" style="1" customWidth="1"/>
    <col min="11269" max="11269" width="10.28515625" style="1" customWidth="1"/>
    <col min="11270" max="11270" width="13.28515625" style="1" customWidth="1"/>
    <col min="11271" max="11271" width="13.42578125" style="1" customWidth="1"/>
    <col min="11272" max="11272" width="54.42578125" style="1" customWidth="1"/>
    <col min="11273" max="11522" width="9.140625" style="1"/>
    <col min="11523" max="11523" width="10.7109375" style="1" customWidth="1"/>
    <col min="11524" max="11524" width="10.5703125" style="1" customWidth="1"/>
    <col min="11525" max="11525" width="10.28515625" style="1" customWidth="1"/>
    <col min="11526" max="11526" width="13.28515625" style="1" customWidth="1"/>
    <col min="11527" max="11527" width="13.42578125" style="1" customWidth="1"/>
    <col min="11528" max="11528" width="54.42578125" style="1" customWidth="1"/>
    <col min="11529" max="11778" width="9.140625" style="1"/>
    <col min="11779" max="11779" width="10.7109375" style="1" customWidth="1"/>
    <col min="11780" max="11780" width="10.5703125" style="1" customWidth="1"/>
    <col min="11781" max="11781" width="10.28515625" style="1" customWidth="1"/>
    <col min="11782" max="11782" width="13.28515625" style="1" customWidth="1"/>
    <col min="11783" max="11783" width="13.42578125" style="1" customWidth="1"/>
    <col min="11784" max="11784" width="54.42578125" style="1" customWidth="1"/>
    <col min="11785" max="12034" width="9.140625" style="1"/>
    <col min="12035" max="12035" width="10.7109375" style="1" customWidth="1"/>
    <col min="12036" max="12036" width="10.5703125" style="1" customWidth="1"/>
    <col min="12037" max="12037" width="10.28515625" style="1" customWidth="1"/>
    <col min="12038" max="12038" width="13.28515625" style="1" customWidth="1"/>
    <col min="12039" max="12039" width="13.42578125" style="1" customWidth="1"/>
    <col min="12040" max="12040" width="54.42578125" style="1" customWidth="1"/>
    <col min="12041" max="12290" width="9.140625" style="1"/>
    <col min="12291" max="12291" width="10.7109375" style="1" customWidth="1"/>
    <col min="12292" max="12292" width="10.5703125" style="1" customWidth="1"/>
    <col min="12293" max="12293" width="10.28515625" style="1" customWidth="1"/>
    <col min="12294" max="12294" width="13.28515625" style="1" customWidth="1"/>
    <col min="12295" max="12295" width="13.42578125" style="1" customWidth="1"/>
    <col min="12296" max="12296" width="54.42578125" style="1" customWidth="1"/>
    <col min="12297" max="12546" width="9.140625" style="1"/>
    <col min="12547" max="12547" width="10.7109375" style="1" customWidth="1"/>
    <col min="12548" max="12548" width="10.5703125" style="1" customWidth="1"/>
    <col min="12549" max="12549" width="10.28515625" style="1" customWidth="1"/>
    <col min="12550" max="12550" width="13.28515625" style="1" customWidth="1"/>
    <col min="12551" max="12551" width="13.42578125" style="1" customWidth="1"/>
    <col min="12552" max="12552" width="54.42578125" style="1" customWidth="1"/>
    <col min="12553" max="12802" width="9.140625" style="1"/>
    <col min="12803" max="12803" width="10.7109375" style="1" customWidth="1"/>
    <col min="12804" max="12804" width="10.5703125" style="1" customWidth="1"/>
    <col min="12805" max="12805" width="10.28515625" style="1" customWidth="1"/>
    <col min="12806" max="12806" width="13.28515625" style="1" customWidth="1"/>
    <col min="12807" max="12807" width="13.42578125" style="1" customWidth="1"/>
    <col min="12808" max="12808" width="54.42578125" style="1" customWidth="1"/>
    <col min="12809" max="13058" width="9.140625" style="1"/>
    <col min="13059" max="13059" width="10.7109375" style="1" customWidth="1"/>
    <col min="13060" max="13060" width="10.5703125" style="1" customWidth="1"/>
    <col min="13061" max="13061" width="10.28515625" style="1" customWidth="1"/>
    <col min="13062" max="13062" width="13.28515625" style="1" customWidth="1"/>
    <col min="13063" max="13063" width="13.42578125" style="1" customWidth="1"/>
    <col min="13064" max="13064" width="54.42578125" style="1" customWidth="1"/>
    <col min="13065" max="13314" width="9.140625" style="1"/>
    <col min="13315" max="13315" width="10.7109375" style="1" customWidth="1"/>
    <col min="13316" max="13316" width="10.5703125" style="1" customWidth="1"/>
    <col min="13317" max="13317" width="10.28515625" style="1" customWidth="1"/>
    <col min="13318" max="13318" width="13.28515625" style="1" customWidth="1"/>
    <col min="13319" max="13319" width="13.42578125" style="1" customWidth="1"/>
    <col min="13320" max="13320" width="54.42578125" style="1" customWidth="1"/>
    <col min="13321" max="13570" width="9.140625" style="1"/>
    <col min="13571" max="13571" width="10.7109375" style="1" customWidth="1"/>
    <col min="13572" max="13572" width="10.5703125" style="1" customWidth="1"/>
    <col min="13573" max="13573" width="10.28515625" style="1" customWidth="1"/>
    <col min="13574" max="13574" width="13.28515625" style="1" customWidth="1"/>
    <col min="13575" max="13575" width="13.42578125" style="1" customWidth="1"/>
    <col min="13576" max="13576" width="54.42578125" style="1" customWidth="1"/>
    <col min="13577" max="13826" width="9.140625" style="1"/>
    <col min="13827" max="13827" width="10.7109375" style="1" customWidth="1"/>
    <col min="13828" max="13828" width="10.5703125" style="1" customWidth="1"/>
    <col min="13829" max="13829" width="10.28515625" style="1" customWidth="1"/>
    <col min="13830" max="13830" width="13.28515625" style="1" customWidth="1"/>
    <col min="13831" max="13831" width="13.42578125" style="1" customWidth="1"/>
    <col min="13832" max="13832" width="54.42578125" style="1" customWidth="1"/>
    <col min="13833" max="14082" width="9.140625" style="1"/>
    <col min="14083" max="14083" width="10.7109375" style="1" customWidth="1"/>
    <col min="14084" max="14084" width="10.5703125" style="1" customWidth="1"/>
    <col min="14085" max="14085" width="10.28515625" style="1" customWidth="1"/>
    <col min="14086" max="14086" width="13.28515625" style="1" customWidth="1"/>
    <col min="14087" max="14087" width="13.42578125" style="1" customWidth="1"/>
    <col min="14088" max="14088" width="54.42578125" style="1" customWidth="1"/>
    <col min="14089" max="14338" width="9.140625" style="1"/>
    <col min="14339" max="14339" width="10.7109375" style="1" customWidth="1"/>
    <col min="14340" max="14340" width="10.5703125" style="1" customWidth="1"/>
    <col min="14341" max="14341" width="10.28515625" style="1" customWidth="1"/>
    <col min="14342" max="14342" width="13.28515625" style="1" customWidth="1"/>
    <col min="14343" max="14343" width="13.42578125" style="1" customWidth="1"/>
    <col min="14344" max="14344" width="54.42578125" style="1" customWidth="1"/>
    <col min="14345" max="14594" width="9.140625" style="1"/>
    <col min="14595" max="14595" width="10.7109375" style="1" customWidth="1"/>
    <col min="14596" max="14596" width="10.5703125" style="1" customWidth="1"/>
    <col min="14597" max="14597" width="10.28515625" style="1" customWidth="1"/>
    <col min="14598" max="14598" width="13.28515625" style="1" customWidth="1"/>
    <col min="14599" max="14599" width="13.42578125" style="1" customWidth="1"/>
    <col min="14600" max="14600" width="54.42578125" style="1" customWidth="1"/>
    <col min="14601" max="14850" width="9.140625" style="1"/>
    <col min="14851" max="14851" width="10.7109375" style="1" customWidth="1"/>
    <col min="14852" max="14852" width="10.5703125" style="1" customWidth="1"/>
    <col min="14853" max="14853" width="10.28515625" style="1" customWidth="1"/>
    <col min="14854" max="14854" width="13.28515625" style="1" customWidth="1"/>
    <col min="14855" max="14855" width="13.42578125" style="1" customWidth="1"/>
    <col min="14856" max="14856" width="54.42578125" style="1" customWidth="1"/>
    <col min="14857" max="15106" width="9.140625" style="1"/>
    <col min="15107" max="15107" width="10.7109375" style="1" customWidth="1"/>
    <col min="15108" max="15108" width="10.5703125" style="1" customWidth="1"/>
    <col min="15109" max="15109" width="10.28515625" style="1" customWidth="1"/>
    <col min="15110" max="15110" width="13.28515625" style="1" customWidth="1"/>
    <col min="15111" max="15111" width="13.42578125" style="1" customWidth="1"/>
    <col min="15112" max="15112" width="54.42578125" style="1" customWidth="1"/>
    <col min="15113" max="15362" width="9.140625" style="1"/>
    <col min="15363" max="15363" width="10.7109375" style="1" customWidth="1"/>
    <col min="15364" max="15364" width="10.5703125" style="1" customWidth="1"/>
    <col min="15365" max="15365" width="10.28515625" style="1" customWidth="1"/>
    <col min="15366" max="15366" width="13.28515625" style="1" customWidth="1"/>
    <col min="15367" max="15367" width="13.42578125" style="1" customWidth="1"/>
    <col min="15368" max="15368" width="54.42578125" style="1" customWidth="1"/>
    <col min="15369" max="15618" width="9.140625" style="1"/>
    <col min="15619" max="15619" width="10.7109375" style="1" customWidth="1"/>
    <col min="15620" max="15620" width="10.5703125" style="1" customWidth="1"/>
    <col min="15621" max="15621" width="10.28515625" style="1" customWidth="1"/>
    <col min="15622" max="15622" width="13.28515625" style="1" customWidth="1"/>
    <col min="15623" max="15623" width="13.42578125" style="1" customWidth="1"/>
    <col min="15624" max="15624" width="54.42578125" style="1" customWidth="1"/>
    <col min="15625" max="15874" width="9.140625" style="1"/>
    <col min="15875" max="15875" width="10.7109375" style="1" customWidth="1"/>
    <col min="15876" max="15876" width="10.5703125" style="1" customWidth="1"/>
    <col min="15877" max="15877" width="10.28515625" style="1" customWidth="1"/>
    <col min="15878" max="15878" width="13.28515625" style="1" customWidth="1"/>
    <col min="15879" max="15879" width="13.42578125" style="1" customWidth="1"/>
    <col min="15880" max="15880" width="54.42578125" style="1" customWidth="1"/>
    <col min="15881" max="16130" width="9.140625" style="1"/>
    <col min="16131" max="16131" width="10.7109375" style="1" customWidth="1"/>
    <col min="16132" max="16132" width="10.5703125" style="1" customWidth="1"/>
    <col min="16133" max="16133" width="10.28515625" style="1" customWidth="1"/>
    <col min="16134" max="16134" width="13.28515625" style="1" customWidth="1"/>
    <col min="16135" max="16135" width="13.42578125" style="1" customWidth="1"/>
    <col min="16136" max="16136" width="54.42578125" style="1" customWidth="1"/>
    <col min="16137" max="16384" width="9.140625" style="1"/>
  </cols>
  <sheetData>
    <row r="1" spans="1:8" ht="51" customHeight="1">
      <c r="A1" s="3306"/>
      <c r="B1" s="3306"/>
      <c r="C1" s="3306"/>
      <c r="D1" s="3306"/>
      <c r="E1" s="3307"/>
      <c r="F1" s="3204" t="s">
        <v>1228</v>
      </c>
      <c r="G1" s="3204"/>
      <c r="H1" s="3204"/>
    </row>
    <row r="2" spans="1:8" ht="45.75" customHeight="1">
      <c r="A2" s="3258" t="s">
        <v>993</v>
      </c>
      <c r="B2" s="3258"/>
      <c r="C2" s="3258"/>
      <c r="D2" s="3258"/>
      <c r="E2" s="3258"/>
      <c r="F2" s="3258"/>
      <c r="G2" s="3258"/>
      <c r="H2" s="3258"/>
    </row>
    <row r="3" spans="1:8" ht="13.5" thickBot="1">
      <c r="A3" s="30"/>
      <c r="B3" s="30"/>
      <c r="C3" s="30"/>
      <c r="D3" s="30"/>
      <c r="E3" s="30"/>
      <c r="F3" s="29"/>
      <c r="G3" s="29"/>
      <c r="H3" s="2200" t="s">
        <v>46</v>
      </c>
    </row>
    <row r="4" spans="1:8" ht="15.75" thickBot="1">
      <c r="A4" s="3295" t="s">
        <v>0</v>
      </c>
      <c r="B4" s="3295" t="s">
        <v>1</v>
      </c>
      <c r="C4" s="3295" t="s">
        <v>51</v>
      </c>
      <c r="D4" s="3295" t="s">
        <v>3</v>
      </c>
      <c r="E4" s="3297" t="s">
        <v>122</v>
      </c>
      <c r="F4" s="3262" t="s">
        <v>994</v>
      </c>
      <c r="G4" s="3261"/>
      <c r="H4" s="3295" t="s">
        <v>49</v>
      </c>
    </row>
    <row r="5" spans="1:8" ht="15.75" thickBot="1">
      <c r="A5" s="3296"/>
      <c r="B5" s="3296"/>
      <c r="C5" s="3296"/>
      <c r="D5" s="3296"/>
      <c r="E5" s="3298"/>
      <c r="F5" s="340" t="s">
        <v>8</v>
      </c>
      <c r="G5" s="340" t="s">
        <v>7</v>
      </c>
      <c r="H5" s="3296"/>
    </row>
    <row r="6" spans="1:8" ht="83.25" customHeight="1" thickBot="1">
      <c r="A6" s="33" t="s">
        <v>4</v>
      </c>
      <c r="B6" s="33" t="s">
        <v>678</v>
      </c>
      <c r="C6" s="2201" t="s">
        <v>995</v>
      </c>
      <c r="D6" s="2202" t="s">
        <v>679</v>
      </c>
      <c r="E6" s="32">
        <f>SUM(F6:G6)</f>
        <v>55000000</v>
      </c>
      <c r="F6" s="32">
        <v>55000000</v>
      </c>
      <c r="G6" s="32">
        <v>0</v>
      </c>
      <c r="H6" s="31" t="s">
        <v>996</v>
      </c>
    </row>
    <row r="7" spans="1:8" ht="36.75" customHeight="1" thickBot="1">
      <c r="A7" s="3305" t="s">
        <v>47</v>
      </c>
      <c r="B7" s="3305"/>
      <c r="C7" s="2203"/>
      <c r="D7" s="2203"/>
      <c r="E7" s="2204">
        <f>SUM(E6:E6)</f>
        <v>55000000</v>
      </c>
      <c r="F7" s="2204">
        <f>SUM(F6:F6)</f>
        <v>55000000</v>
      </c>
      <c r="G7" s="2204">
        <f>SUM(G6)</f>
        <v>0</v>
      </c>
      <c r="H7" s="2205"/>
    </row>
    <row r="24" spans="6:7">
      <c r="F24" s="37"/>
      <c r="G24" s="37"/>
    </row>
  </sheetData>
  <mergeCells count="11">
    <mergeCell ref="A7:B7"/>
    <mergeCell ref="A1:E1"/>
    <mergeCell ref="F1:H1"/>
    <mergeCell ref="A2:H2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I31"/>
  <sheetViews>
    <sheetView view="pageBreakPreview" zoomScaleNormal="100" zoomScaleSheetLayoutView="100" workbookViewId="0">
      <selection activeCell="L10" sqref="L10"/>
    </sheetView>
  </sheetViews>
  <sheetFormatPr defaultRowHeight="12.75"/>
  <cols>
    <col min="1" max="1" width="7" style="1" customWidth="1"/>
    <col min="2" max="2" width="10.28515625" style="1" customWidth="1"/>
    <col min="3" max="3" width="24" style="1" customWidth="1"/>
    <col min="4" max="4" width="11" style="1" customWidth="1"/>
    <col min="5" max="5" width="13.42578125" style="1" customWidth="1"/>
    <col min="6" max="7" width="15.7109375" style="1" customWidth="1"/>
    <col min="8" max="8" width="16" style="1" customWidth="1"/>
    <col min="9" max="9" width="61.28515625" style="1" customWidth="1"/>
    <col min="10" max="257" width="9.140625" style="1"/>
    <col min="258" max="258" width="7" style="1" customWidth="1"/>
    <col min="259" max="259" width="10.7109375" style="1" customWidth="1"/>
    <col min="260" max="260" width="15.7109375" style="1" customWidth="1"/>
    <col min="261" max="262" width="13.42578125" style="1" customWidth="1"/>
    <col min="263" max="263" width="17.85546875" style="1" customWidth="1"/>
    <col min="264" max="264" width="16" style="1" customWidth="1"/>
    <col min="265" max="265" width="43.42578125" style="1" customWidth="1"/>
    <col min="266" max="513" width="9.140625" style="1"/>
    <col min="514" max="514" width="7" style="1" customWidth="1"/>
    <col min="515" max="515" width="10.7109375" style="1" customWidth="1"/>
    <col min="516" max="516" width="15.7109375" style="1" customWidth="1"/>
    <col min="517" max="518" width="13.42578125" style="1" customWidth="1"/>
    <col min="519" max="519" width="17.85546875" style="1" customWidth="1"/>
    <col min="520" max="520" width="16" style="1" customWidth="1"/>
    <col min="521" max="521" width="43.42578125" style="1" customWidth="1"/>
    <col min="522" max="769" width="9.140625" style="1"/>
    <col min="770" max="770" width="7" style="1" customWidth="1"/>
    <col min="771" max="771" width="10.7109375" style="1" customWidth="1"/>
    <col min="772" max="772" width="15.7109375" style="1" customWidth="1"/>
    <col min="773" max="774" width="13.42578125" style="1" customWidth="1"/>
    <col min="775" max="775" width="17.85546875" style="1" customWidth="1"/>
    <col min="776" max="776" width="16" style="1" customWidth="1"/>
    <col min="777" max="777" width="43.42578125" style="1" customWidth="1"/>
    <col min="778" max="1025" width="9.140625" style="1"/>
    <col min="1026" max="1026" width="7" style="1" customWidth="1"/>
    <col min="1027" max="1027" width="10.7109375" style="1" customWidth="1"/>
    <col min="1028" max="1028" width="15.7109375" style="1" customWidth="1"/>
    <col min="1029" max="1030" width="13.42578125" style="1" customWidth="1"/>
    <col min="1031" max="1031" width="17.85546875" style="1" customWidth="1"/>
    <col min="1032" max="1032" width="16" style="1" customWidth="1"/>
    <col min="1033" max="1033" width="43.42578125" style="1" customWidth="1"/>
    <col min="1034" max="1281" width="9.140625" style="1"/>
    <col min="1282" max="1282" width="7" style="1" customWidth="1"/>
    <col min="1283" max="1283" width="10.7109375" style="1" customWidth="1"/>
    <col min="1284" max="1284" width="15.7109375" style="1" customWidth="1"/>
    <col min="1285" max="1286" width="13.42578125" style="1" customWidth="1"/>
    <col min="1287" max="1287" width="17.85546875" style="1" customWidth="1"/>
    <col min="1288" max="1288" width="16" style="1" customWidth="1"/>
    <col min="1289" max="1289" width="43.42578125" style="1" customWidth="1"/>
    <col min="1290" max="1537" width="9.140625" style="1"/>
    <col min="1538" max="1538" width="7" style="1" customWidth="1"/>
    <col min="1539" max="1539" width="10.7109375" style="1" customWidth="1"/>
    <col min="1540" max="1540" width="15.7109375" style="1" customWidth="1"/>
    <col min="1541" max="1542" width="13.42578125" style="1" customWidth="1"/>
    <col min="1543" max="1543" width="17.85546875" style="1" customWidth="1"/>
    <col min="1544" max="1544" width="16" style="1" customWidth="1"/>
    <col min="1545" max="1545" width="43.42578125" style="1" customWidth="1"/>
    <col min="1546" max="1793" width="9.140625" style="1"/>
    <col min="1794" max="1794" width="7" style="1" customWidth="1"/>
    <col min="1795" max="1795" width="10.7109375" style="1" customWidth="1"/>
    <col min="1796" max="1796" width="15.7109375" style="1" customWidth="1"/>
    <col min="1797" max="1798" width="13.42578125" style="1" customWidth="1"/>
    <col min="1799" max="1799" width="17.85546875" style="1" customWidth="1"/>
    <col min="1800" max="1800" width="16" style="1" customWidth="1"/>
    <col min="1801" max="1801" width="43.42578125" style="1" customWidth="1"/>
    <col min="1802" max="2049" width="9.140625" style="1"/>
    <col min="2050" max="2050" width="7" style="1" customWidth="1"/>
    <col min="2051" max="2051" width="10.7109375" style="1" customWidth="1"/>
    <col min="2052" max="2052" width="15.7109375" style="1" customWidth="1"/>
    <col min="2053" max="2054" width="13.42578125" style="1" customWidth="1"/>
    <col min="2055" max="2055" width="17.85546875" style="1" customWidth="1"/>
    <col min="2056" max="2056" width="16" style="1" customWidth="1"/>
    <col min="2057" max="2057" width="43.42578125" style="1" customWidth="1"/>
    <col min="2058" max="2305" width="9.140625" style="1"/>
    <col min="2306" max="2306" width="7" style="1" customWidth="1"/>
    <col min="2307" max="2307" width="10.7109375" style="1" customWidth="1"/>
    <col min="2308" max="2308" width="15.7109375" style="1" customWidth="1"/>
    <col min="2309" max="2310" width="13.42578125" style="1" customWidth="1"/>
    <col min="2311" max="2311" width="17.85546875" style="1" customWidth="1"/>
    <col min="2312" max="2312" width="16" style="1" customWidth="1"/>
    <col min="2313" max="2313" width="43.42578125" style="1" customWidth="1"/>
    <col min="2314" max="2561" width="9.140625" style="1"/>
    <col min="2562" max="2562" width="7" style="1" customWidth="1"/>
    <col min="2563" max="2563" width="10.7109375" style="1" customWidth="1"/>
    <col min="2564" max="2564" width="15.7109375" style="1" customWidth="1"/>
    <col min="2565" max="2566" width="13.42578125" style="1" customWidth="1"/>
    <col min="2567" max="2567" width="17.85546875" style="1" customWidth="1"/>
    <col min="2568" max="2568" width="16" style="1" customWidth="1"/>
    <col min="2569" max="2569" width="43.42578125" style="1" customWidth="1"/>
    <col min="2570" max="2817" width="9.140625" style="1"/>
    <col min="2818" max="2818" width="7" style="1" customWidth="1"/>
    <col min="2819" max="2819" width="10.7109375" style="1" customWidth="1"/>
    <col min="2820" max="2820" width="15.7109375" style="1" customWidth="1"/>
    <col min="2821" max="2822" width="13.42578125" style="1" customWidth="1"/>
    <col min="2823" max="2823" width="17.85546875" style="1" customWidth="1"/>
    <col min="2824" max="2824" width="16" style="1" customWidth="1"/>
    <col min="2825" max="2825" width="43.42578125" style="1" customWidth="1"/>
    <col min="2826" max="3073" width="9.140625" style="1"/>
    <col min="3074" max="3074" width="7" style="1" customWidth="1"/>
    <col min="3075" max="3075" width="10.7109375" style="1" customWidth="1"/>
    <col min="3076" max="3076" width="15.7109375" style="1" customWidth="1"/>
    <col min="3077" max="3078" width="13.42578125" style="1" customWidth="1"/>
    <col min="3079" max="3079" width="17.85546875" style="1" customWidth="1"/>
    <col min="3080" max="3080" width="16" style="1" customWidth="1"/>
    <col min="3081" max="3081" width="43.42578125" style="1" customWidth="1"/>
    <col min="3082" max="3329" width="9.140625" style="1"/>
    <col min="3330" max="3330" width="7" style="1" customWidth="1"/>
    <col min="3331" max="3331" width="10.7109375" style="1" customWidth="1"/>
    <col min="3332" max="3332" width="15.7109375" style="1" customWidth="1"/>
    <col min="3333" max="3334" width="13.42578125" style="1" customWidth="1"/>
    <col min="3335" max="3335" width="17.85546875" style="1" customWidth="1"/>
    <col min="3336" max="3336" width="16" style="1" customWidth="1"/>
    <col min="3337" max="3337" width="43.42578125" style="1" customWidth="1"/>
    <col min="3338" max="3585" width="9.140625" style="1"/>
    <col min="3586" max="3586" width="7" style="1" customWidth="1"/>
    <col min="3587" max="3587" width="10.7109375" style="1" customWidth="1"/>
    <col min="3588" max="3588" width="15.7109375" style="1" customWidth="1"/>
    <col min="3589" max="3590" width="13.42578125" style="1" customWidth="1"/>
    <col min="3591" max="3591" width="17.85546875" style="1" customWidth="1"/>
    <col min="3592" max="3592" width="16" style="1" customWidth="1"/>
    <col min="3593" max="3593" width="43.42578125" style="1" customWidth="1"/>
    <col min="3594" max="3841" width="9.140625" style="1"/>
    <col min="3842" max="3842" width="7" style="1" customWidth="1"/>
    <col min="3843" max="3843" width="10.7109375" style="1" customWidth="1"/>
    <col min="3844" max="3844" width="15.7109375" style="1" customWidth="1"/>
    <col min="3845" max="3846" width="13.42578125" style="1" customWidth="1"/>
    <col min="3847" max="3847" width="17.85546875" style="1" customWidth="1"/>
    <col min="3848" max="3848" width="16" style="1" customWidth="1"/>
    <col min="3849" max="3849" width="43.42578125" style="1" customWidth="1"/>
    <col min="3850" max="4097" width="9.140625" style="1"/>
    <col min="4098" max="4098" width="7" style="1" customWidth="1"/>
    <col min="4099" max="4099" width="10.7109375" style="1" customWidth="1"/>
    <col min="4100" max="4100" width="15.7109375" style="1" customWidth="1"/>
    <col min="4101" max="4102" width="13.42578125" style="1" customWidth="1"/>
    <col min="4103" max="4103" width="17.85546875" style="1" customWidth="1"/>
    <col min="4104" max="4104" width="16" style="1" customWidth="1"/>
    <col min="4105" max="4105" width="43.42578125" style="1" customWidth="1"/>
    <col min="4106" max="4353" width="9.140625" style="1"/>
    <col min="4354" max="4354" width="7" style="1" customWidth="1"/>
    <col min="4355" max="4355" width="10.7109375" style="1" customWidth="1"/>
    <col min="4356" max="4356" width="15.7109375" style="1" customWidth="1"/>
    <col min="4357" max="4358" width="13.42578125" style="1" customWidth="1"/>
    <col min="4359" max="4359" width="17.85546875" style="1" customWidth="1"/>
    <col min="4360" max="4360" width="16" style="1" customWidth="1"/>
    <col min="4361" max="4361" width="43.42578125" style="1" customWidth="1"/>
    <col min="4362" max="4609" width="9.140625" style="1"/>
    <col min="4610" max="4610" width="7" style="1" customWidth="1"/>
    <col min="4611" max="4611" width="10.7109375" style="1" customWidth="1"/>
    <col min="4612" max="4612" width="15.7109375" style="1" customWidth="1"/>
    <col min="4613" max="4614" width="13.42578125" style="1" customWidth="1"/>
    <col min="4615" max="4615" width="17.85546875" style="1" customWidth="1"/>
    <col min="4616" max="4616" width="16" style="1" customWidth="1"/>
    <col min="4617" max="4617" width="43.42578125" style="1" customWidth="1"/>
    <col min="4618" max="4865" width="9.140625" style="1"/>
    <col min="4866" max="4866" width="7" style="1" customWidth="1"/>
    <col min="4867" max="4867" width="10.7109375" style="1" customWidth="1"/>
    <col min="4868" max="4868" width="15.7109375" style="1" customWidth="1"/>
    <col min="4869" max="4870" width="13.42578125" style="1" customWidth="1"/>
    <col min="4871" max="4871" width="17.85546875" style="1" customWidth="1"/>
    <col min="4872" max="4872" width="16" style="1" customWidth="1"/>
    <col min="4873" max="4873" width="43.42578125" style="1" customWidth="1"/>
    <col min="4874" max="5121" width="9.140625" style="1"/>
    <col min="5122" max="5122" width="7" style="1" customWidth="1"/>
    <col min="5123" max="5123" width="10.7109375" style="1" customWidth="1"/>
    <col min="5124" max="5124" width="15.7109375" style="1" customWidth="1"/>
    <col min="5125" max="5126" width="13.42578125" style="1" customWidth="1"/>
    <col min="5127" max="5127" width="17.85546875" style="1" customWidth="1"/>
    <col min="5128" max="5128" width="16" style="1" customWidth="1"/>
    <col min="5129" max="5129" width="43.42578125" style="1" customWidth="1"/>
    <col min="5130" max="5377" width="9.140625" style="1"/>
    <col min="5378" max="5378" width="7" style="1" customWidth="1"/>
    <col min="5379" max="5379" width="10.7109375" style="1" customWidth="1"/>
    <col min="5380" max="5380" width="15.7109375" style="1" customWidth="1"/>
    <col min="5381" max="5382" width="13.42578125" style="1" customWidth="1"/>
    <col min="5383" max="5383" width="17.85546875" style="1" customWidth="1"/>
    <col min="5384" max="5384" width="16" style="1" customWidth="1"/>
    <col min="5385" max="5385" width="43.42578125" style="1" customWidth="1"/>
    <col min="5386" max="5633" width="9.140625" style="1"/>
    <col min="5634" max="5634" width="7" style="1" customWidth="1"/>
    <col min="5635" max="5635" width="10.7109375" style="1" customWidth="1"/>
    <col min="5636" max="5636" width="15.7109375" style="1" customWidth="1"/>
    <col min="5637" max="5638" width="13.42578125" style="1" customWidth="1"/>
    <col min="5639" max="5639" width="17.85546875" style="1" customWidth="1"/>
    <col min="5640" max="5640" width="16" style="1" customWidth="1"/>
    <col min="5641" max="5641" width="43.42578125" style="1" customWidth="1"/>
    <col min="5642" max="5889" width="9.140625" style="1"/>
    <col min="5890" max="5890" width="7" style="1" customWidth="1"/>
    <col min="5891" max="5891" width="10.7109375" style="1" customWidth="1"/>
    <col min="5892" max="5892" width="15.7109375" style="1" customWidth="1"/>
    <col min="5893" max="5894" width="13.42578125" style="1" customWidth="1"/>
    <col min="5895" max="5895" width="17.85546875" style="1" customWidth="1"/>
    <col min="5896" max="5896" width="16" style="1" customWidth="1"/>
    <col min="5897" max="5897" width="43.42578125" style="1" customWidth="1"/>
    <col min="5898" max="6145" width="9.140625" style="1"/>
    <col min="6146" max="6146" width="7" style="1" customWidth="1"/>
    <col min="6147" max="6147" width="10.7109375" style="1" customWidth="1"/>
    <col min="6148" max="6148" width="15.7109375" style="1" customWidth="1"/>
    <col min="6149" max="6150" width="13.42578125" style="1" customWidth="1"/>
    <col min="6151" max="6151" width="17.85546875" style="1" customWidth="1"/>
    <col min="6152" max="6152" width="16" style="1" customWidth="1"/>
    <col min="6153" max="6153" width="43.42578125" style="1" customWidth="1"/>
    <col min="6154" max="6401" width="9.140625" style="1"/>
    <col min="6402" max="6402" width="7" style="1" customWidth="1"/>
    <col min="6403" max="6403" width="10.7109375" style="1" customWidth="1"/>
    <col min="6404" max="6404" width="15.7109375" style="1" customWidth="1"/>
    <col min="6405" max="6406" width="13.42578125" style="1" customWidth="1"/>
    <col min="6407" max="6407" width="17.85546875" style="1" customWidth="1"/>
    <col min="6408" max="6408" width="16" style="1" customWidth="1"/>
    <col min="6409" max="6409" width="43.42578125" style="1" customWidth="1"/>
    <col min="6410" max="6657" width="9.140625" style="1"/>
    <col min="6658" max="6658" width="7" style="1" customWidth="1"/>
    <col min="6659" max="6659" width="10.7109375" style="1" customWidth="1"/>
    <col min="6660" max="6660" width="15.7109375" style="1" customWidth="1"/>
    <col min="6661" max="6662" width="13.42578125" style="1" customWidth="1"/>
    <col min="6663" max="6663" width="17.85546875" style="1" customWidth="1"/>
    <col min="6664" max="6664" width="16" style="1" customWidth="1"/>
    <col min="6665" max="6665" width="43.42578125" style="1" customWidth="1"/>
    <col min="6666" max="6913" width="9.140625" style="1"/>
    <col min="6914" max="6914" width="7" style="1" customWidth="1"/>
    <col min="6915" max="6915" width="10.7109375" style="1" customWidth="1"/>
    <col min="6916" max="6916" width="15.7109375" style="1" customWidth="1"/>
    <col min="6917" max="6918" width="13.42578125" style="1" customWidth="1"/>
    <col min="6919" max="6919" width="17.85546875" style="1" customWidth="1"/>
    <col min="6920" max="6920" width="16" style="1" customWidth="1"/>
    <col min="6921" max="6921" width="43.42578125" style="1" customWidth="1"/>
    <col min="6922" max="7169" width="9.140625" style="1"/>
    <col min="7170" max="7170" width="7" style="1" customWidth="1"/>
    <col min="7171" max="7171" width="10.7109375" style="1" customWidth="1"/>
    <col min="7172" max="7172" width="15.7109375" style="1" customWidth="1"/>
    <col min="7173" max="7174" width="13.42578125" style="1" customWidth="1"/>
    <col min="7175" max="7175" width="17.85546875" style="1" customWidth="1"/>
    <col min="7176" max="7176" width="16" style="1" customWidth="1"/>
    <col min="7177" max="7177" width="43.42578125" style="1" customWidth="1"/>
    <col min="7178" max="7425" width="9.140625" style="1"/>
    <col min="7426" max="7426" width="7" style="1" customWidth="1"/>
    <col min="7427" max="7427" width="10.7109375" style="1" customWidth="1"/>
    <col min="7428" max="7428" width="15.7109375" style="1" customWidth="1"/>
    <col min="7429" max="7430" width="13.42578125" style="1" customWidth="1"/>
    <col min="7431" max="7431" width="17.85546875" style="1" customWidth="1"/>
    <col min="7432" max="7432" width="16" style="1" customWidth="1"/>
    <col min="7433" max="7433" width="43.42578125" style="1" customWidth="1"/>
    <col min="7434" max="7681" width="9.140625" style="1"/>
    <col min="7682" max="7682" width="7" style="1" customWidth="1"/>
    <col min="7683" max="7683" width="10.7109375" style="1" customWidth="1"/>
    <col min="7684" max="7684" width="15.7109375" style="1" customWidth="1"/>
    <col min="7685" max="7686" width="13.42578125" style="1" customWidth="1"/>
    <col min="7687" max="7687" width="17.85546875" style="1" customWidth="1"/>
    <col min="7688" max="7688" width="16" style="1" customWidth="1"/>
    <col min="7689" max="7689" width="43.42578125" style="1" customWidth="1"/>
    <col min="7690" max="7937" width="9.140625" style="1"/>
    <col min="7938" max="7938" width="7" style="1" customWidth="1"/>
    <col min="7939" max="7939" width="10.7109375" style="1" customWidth="1"/>
    <col min="7940" max="7940" width="15.7109375" style="1" customWidth="1"/>
    <col min="7941" max="7942" width="13.42578125" style="1" customWidth="1"/>
    <col min="7943" max="7943" width="17.85546875" style="1" customWidth="1"/>
    <col min="7944" max="7944" width="16" style="1" customWidth="1"/>
    <col min="7945" max="7945" width="43.42578125" style="1" customWidth="1"/>
    <col min="7946" max="8193" width="9.140625" style="1"/>
    <col min="8194" max="8194" width="7" style="1" customWidth="1"/>
    <col min="8195" max="8195" width="10.7109375" style="1" customWidth="1"/>
    <col min="8196" max="8196" width="15.7109375" style="1" customWidth="1"/>
    <col min="8197" max="8198" width="13.42578125" style="1" customWidth="1"/>
    <col min="8199" max="8199" width="17.85546875" style="1" customWidth="1"/>
    <col min="8200" max="8200" width="16" style="1" customWidth="1"/>
    <col min="8201" max="8201" width="43.42578125" style="1" customWidth="1"/>
    <col min="8202" max="8449" width="9.140625" style="1"/>
    <col min="8450" max="8450" width="7" style="1" customWidth="1"/>
    <col min="8451" max="8451" width="10.7109375" style="1" customWidth="1"/>
    <col min="8452" max="8452" width="15.7109375" style="1" customWidth="1"/>
    <col min="8453" max="8454" width="13.42578125" style="1" customWidth="1"/>
    <col min="8455" max="8455" width="17.85546875" style="1" customWidth="1"/>
    <col min="8456" max="8456" width="16" style="1" customWidth="1"/>
    <col min="8457" max="8457" width="43.42578125" style="1" customWidth="1"/>
    <col min="8458" max="8705" width="9.140625" style="1"/>
    <col min="8706" max="8706" width="7" style="1" customWidth="1"/>
    <col min="8707" max="8707" width="10.7109375" style="1" customWidth="1"/>
    <col min="8708" max="8708" width="15.7109375" style="1" customWidth="1"/>
    <col min="8709" max="8710" width="13.42578125" style="1" customWidth="1"/>
    <col min="8711" max="8711" width="17.85546875" style="1" customWidth="1"/>
    <col min="8712" max="8712" width="16" style="1" customWidth="1"/>
    <col min="8713" max="8713" width="43.42578125" style="1" customWidth="1"/>
    <col min="8714" max="8961" width="9.140625" style="1"/>
    <col min="8962" max="8962" width="7" style="1" customWidth="1"/>
    <col min="8963" max="8963" width="10.7109375" style="1" customWidth="1"/>
    <col min="8964" max="8964" width="15.7109375" style="1" customWidth="1"/>
    <col min="8965" max="8966" width="13.42578125" style="1" customWidth="1"/>
    <col min="8967" max="8967" width="17.85546875" style="1" customWidth="1"/>
    <col min="8968" max="8968" width="16" style="1" customWidth="1"/>
    <col min="8969" max="8969" width="43.42578125" style="1" customWidth="1"/>
    <col min="8970" max="9217" width="9.140625" style="1"/>
    <col min="9218" max="9218" width="7" style="1" customWidth="1"/>
    <col min="9219" max="9219" width="10.7109375" style="1" customWidth="1"/>
    <col min="9220" max="9220" width="15.7109375" style="1" customWidth="1"/>
    <col min="9221" max="9222" width="13.42578125" style="1" customWidth="1"/>
    <col min="9223" max="9223" width="17.85546875" style="1" customWidth="1"/>
    <col min="9224" max="9224" width="16" style="1" customWidth="1"/>
    <col min="9225" max="9225" width="43.42578125" style="1" customWidth="1"/>
    <col min="9226" max="9473" width="9.140625" style="1"/>
    <col min="9474" max="9474" width="7" style="1" customWidth="1"/>
    <col min="9475" max="9475" width="10.7109375" style="1" customWidth="1"/>
    <col min="9476" max="9476" width="15.7109375" style="1" customWidth="1"/>
    <col min="9477" max="9478" width="13.42578125" style="1" customWidth="1"/>
    <col min="9479" max="9479" width="17.85546875" style="1" customWidth="1"/>
    <col min="9480" max="9480" width="16" style="1" customWidth="1"/>
    <col min="9481" max="9481" width="43.42578125" style="1" customWidth="1"/>
    <col min="9482" max="9729" width="9.140625" style="1"/>
    <col min="9730" max="9730" width="7" style="1" customWidth="1"/>
    <col min="9731" max="9731" width="10.7109375" style="1" customWidth="1"/>
    <col min="9732" max="9732" width="15.7109375" style="1" customWidth="1"/>
    <col min="9733" max="9734" width="13.42578125" style="1" customWidth="1"/>
    <col min="9735" max="9735" width="17.85546875" style="1" customWidth="1"/>
    <col min="9736" max="9736" width="16" style="1" customWidth="1"/>
    <col min="9737" max="9737" width="43.42578125" style="1" customWidth="1"/>
    <col min="9738" max="9985" width="9.140625" style="1"/>
    <col min="9986" max="9986" width="7" style="1" customWidth="1"/>
    <col min="9987" max="9987" width="10.7109375" style="1" customWidth="1"/>
    <col min="9988" max="9988" width="15.7109375" style="1" customWidth="1"/>
    <col min="9989" max="9990" width="13.42578125" style="1" customWidth="1"/>
    <col min="9991" max="9991" width="17.85546875" style="1" customWidth="1"/>
    <col min="9992" max="9992" width="16" style="1" customWidth="1"/>
    <col min="9993" max="9993" width="43.42578125" style="1" customWidth="1"/>
    <col min="9994" max="10241" width="9.140625" style="1"/>
    <col min="10242" max="10242" width="7" style="1" customWidth="1"/>
    <col min="10243" max="10243" width="10.7109375" style="1" customWidth="1"/>
    <col min="10244" max="10244" width="15.7109375" style="1" customWidth="1"/>
    <col min="10245" max="10246" width="13.42578125" style="1" customWidth="1"/>
    <col min="10247" max="10247" width="17.85546875" style="1" customWidth="1"/>
    <col min="10248" max="10248" width="16" style="1" customWidth="1"/>
    <col min="10249" max="10249" width="43.42578125" style="1" customWidth="1"/>
    <col min="10250" max="10497" width="9.140625" style="1"/>
    <col min="10498" max="10498" width="7" style="1" customWidth="1"/>
    <col min="10499" max="10499" width="10.7109375" style="1" customWidth="1"/>
    <col min="10500" max="10500" width="15.7109375" style="1" customWidth="1"/>
    <col min="10501" max="10502" width="13.42578125" style="1" customWidth="1"/>
    <col min="10503" max="10503" width="17.85546875" style="1" customWidth="1"/>
    <col min="10504" max="10504" width="16" style="1" customWidth="1"/>
    <col min="10505" max="10505" width="43.42578125" style="1" customWidth="1"/>
    <col min="10506" max="10753" width="9.140625" style="1"/>
    <col min="10754" max="10754" width="7" style="1" customWidth="1"/>
    <col min="10755" max="10755" width="10.7109375" style="1" customWidth="1"/>
    <col min="10756" max="10756" width="15.7109375" style="1" customWidth="1"/>
    <col min="10757" max="10758" width="13.42578125" style="1" customWidth="1"/>
    <col min="10759" max="10759" width="17.85546875" style="1" customWidth="1"/>
    <col min="10760" max="10760" width="16" style="1" customWidth="1"/>
    <col min="10761" max="10761" width="43.42578125" style="1" customWidth="1"/>
    <col min="10762" max="11009" width="9.140625" style="1"/>
    <col min="11010" max="11010" width="7" style="1" customWidth="1"/>
    <col min="11011" max="11011" width="10.7109375" style="1" customWidth="1"/>
    <col min="11012" max="11012" width="15.7109375" style="1" customWidth="1"/>
    <col min="11013" max="11014" width="13.42578125" style="1" customWidth="1"/>
    <col min="11015" max="11015" width="17.85546875" style="1" customWidth="1"/>
    <col min="11016" max="11016" width="16" style="1" customWidth="1"/>
    <col min="11017" max="11017" width="43.42578125" style="1" customWidth="1"/>
    <col min="11018" max="11265" width="9.140625" style="1"/>
    <col min="11266" max="11266" width="7" style="1" customWidth="1"/>
    <col min="11267" max="11267" width="10.7109375" style="1" customWidth="1"/>
    <col min="11268" max="11268" width="15.7109375" style="1" customWidth="1"/>
    <col min="11269" max="11270" width="13.42578125" style="1" customWidth="1"/>
    <col min="11271" max="11271" width="17.85546875" style="1" customWidth="1"/>
    <col min="11272" max="11272" width="16" style="1" customWidth="1"/>
    <col min="11273" max="11273" width="43.42578125" style="1" customWidth="1"/>
    <col min="11274" max="11521" width="9.140625" style="1"/>
    <col min="11522" max="11522" width="7" style="1" customWidth="1"/>
    <col min="11523" max="11523" width="10.7109375" style="1" customWidth="1"/>
    <col min="11524" max="11524" width="15.7109375" style="1" customWidth="1"/>
    <col min="11525" max="11526" width="13.42578125" style="1" customWidth="1"/>
    <col min="11527" max="11527" width="17.85546875" style="1" customWidth="1"/>
    <col min="11528" max="11528" width="16" style="1" customWidth="1"/>
    <col min="11529" max="11529" width="43.42578125" style="1" customWidth="1"/>
    <col min="11530" max="11777" width="9.140625" style="1"/>
    <col min="11778" max="11778" width="7" style="1" customWidth="1"/>
    <col min="11779" max="11779" width="10.7109375" style="1" customWidth="1"/>
    <col min="11780" max="11780" width="15.7109375" style="1" customWidth="1"/>
    <col min="11781" max="11782" width="13.42578125" style="1" customWidth="1"/>
    <col min="11783" max="11783" width="17.85546875" style="1" customWidth="1"/>
    <col min="11784" max="11784" width="16" style="1" customWidth="1"/>
    <col min="11785" max="11785" width="43.42578125" style="1" customWidth="1"/>
    <col min="11786" max="12033" width="9.140625" style="1"/>
    <col min="12034" max="12034" width="7" style="1" customWidth="1"/>
    <col min="12035" max="12035" width="10.7109375" style="1" customWidth="1"/>
    <col min="12036" max="12036" width="15.7109375" style="1" customWidth="1"/>
    <col min="12037" max="12038" width="13.42578125" style="1" customWidth="1"/>
    <col min="12039" max="12039" width="17.85546875" style="1" customWidth="1"/>
    <col min="12040" max="12040" width="16" style="1" customWidth="1"/>
    <col min="12041" max="12041" width="43.42578125" style="1" customWidth="1"/>
    <col min="12042" max="12289" width="9.140625" style="1"/>
    <col min="12290" max="12290" width="7" style="1" customWidth="1"/>
    <col min="12291" max="12291" width="10.7109375" style="1" customWidth="1"/>
    <col min="12292" max="12292" width="15.7109375" style="1" customWidth="1"/>
    <col min="12293" max="12294" width="13.42578125" style="1" customWidth="1"/>
    <col min="12295" max="12295" width="17.85546875" style="1" customWidth="1"/>
    <col min="12296" max="12296" width="16" style="1" customWidth="1"/>
    <col min="12297" max="12297" width="43.42578125" style="1" customWidth="1"/>
    <col min="12298" max="12545" width="9.140625" style="1"/>
    <col min="12546" max="12546" width="7" style="1" customWidth="1"/>
    <col min="12547" max="12547" width="10.7109375" style="1" customWidth="1"/>
    <col min="12548" max="12548" width="15.7109375" style="1" customWidth="1"/>
    <col min="12549" max="12550" width="13.42578125" style="1" customWidth="1"/>
    <col min="12551" max="12551" width="17.85546875" style="1" customWidth="1"/>
    <col min="12552" max="12552" width="16" style="1" customWidth="1"/>
    <col min="12553" max="12553" width="43.42578125" style="1" customWidth="1"/>
    <col min="12554" max="12801" width="9.140625" style="1"/>
    <col min="12802" max="12802" width="7" style="1" customWidth="1"/>
    <col min="12803" max="12803" width="10.7109375" style="1" customWidth="1"/>
    <col min="12804" max="12804" width="15.7109375" style="1" customWidth="1"/>
    <col min="12805" max="12806" width="13.42578125" style="1" customWidth="1"/>
    <col min="12807" max="12807" width="17.85546875" style="1" customWidth="1"/>
    <col min="12808" max="12808" width="16" style="1" customWidth="1"/>
    <col min="12809" max="12809" width="43.42578125" style="1" customWidth="1"/>
    <col min="12810" max="13057" width="9.140625" style="1"/>
    <col min="13058" max="13058" width="7" style="1" customWidth="1"/>
    <col min="13059" max="13059" width="10.7109375" style="1" customWidth="1"/>
    <col min="13060" max="13060" width="15.7109375" style="1" customWidth="1"/>
    <col min="13061" max="13062" width="13.42578125" style="1" customWidth="1"/>
    <col min="13063" max="13063" width="17.85546875" style="1" customWidth="1"/>
    <col min="13064" max="13064" width="16" style="1" customWidth="1"/>
    <col min="13065" max="13065" width="43.42578125" style="1" customWidth="1"/>
    <col min="13066" max="13313" width="9.140625" style="1"/>
    <col min="13314" max="13314" width="7" style="1" customWidth="1"/>
    <col min="13315" max="13315" width="10.7109375" style="1" customWidth="1"/>
    <col min="13316" max="13316" width="15.7109375" style="1" customWidth="1"/>
    <col min="13317" max="13318" width="13.42578125" style="1" customWidth="1"/>
    <col min="13319" max="13319" width="17.85546875" style="1" customWidth="1"/>
    <col min="13320" max="13320" width="16" style="1" customWidth="1"/>
    <col min="13321" max="13321" width="43.42578125" style="1" customWidth="1"/>
    <col min="13322" max="13569" width="9.140625" style="1"/>
    <col min="13570" max="13570" width="7" style="1" customWidth="1"/>
    <col min="13571" max="13571" width="10.7109375" style="1" customWidth="1"/>
    <col min="13572" max="13572" width="15.7109375" style="1" customWidth="1"/>
    <col min="13573" max="13574" width="13.42578125" style="1" customWidth="1"/>
    <col min="13575" max="13575" width="17.85546875" style="1" customWidth="1"/>
    <col min="13576" max="13576" width="16" style="1" customWidth="1"/>
    <col min="13577" max="13577" width="43.42578125" style="1" customWidth="1"/>
    <col min="13578" max="13825" width="9.140625" style="1"/>
    <col min="13826" max="13826" width="7" style="1" customWidth="1"/>
    <col min="13827" max="13827" width="10.7109375" style="1" customWidth="1"/>
    <col min="13828" max="13828" width="15.7109375" style="1" customWidth="1"/>
    <col min="13829" max="13830" width="13.42578125" style="1" customWidth="1"/>
    <col min="13831" max="13831" width="17.85546875" style="1" customWidth="1"/>
    <col min="13832" max="13832" width="16" style="1" customWidth="1"/>
    <col min="13833" max="13833" width="43.42578125" style="1" customWidth="1"/>
    <col min="13834" max="14081" width="9.140625" style="1"/>
    <col min="14082" max="14082" width="7" style="1" customWidth="1"/>
    <col min="14083" max="14083" width="10.7109375" style="1" customWidth="1"/>
    <col min="14084" max="14084" width="15.7109375" style="1" customWidth="1"/>
    <col min="14085" max="14086" width="13.42578125" style="1" customWidth="1"/>
    <col min="14087" max="14087" width="17.85546875" style="1" customWidth="1"/>
    <col min="14088" max="14088" width="16" style="1" customWidth="1"/>
    <col min="14089" max="14089" width="43.42578125" style="1" customWidth="1"/>
    <col min="14090" max="14337" width="9.140625" style="1"/>
    <col min="14338" max="14338" width="7" style="1" customWidth="1"/>
    <col min="14339" max="14339" width="10.7109375" style="1" customWidth="1"/>
    <col min="14340" max="14340" width="15.7109375" style="1" customWidth="1"/>
    <col min="14341" max="14342" width="13.42578125" style="1" customWidth="1"/>
    <col min="14343" max="14343" width="17.85546875" style="1" customWidth="1"/>
    <col min="14344" max="14344" width="16" style="1" customWidth="1"/>
    <col min="14345" max="14345" width="43.42578125" style="1" customWidth="1"/>
    <col min="14346" max="14593" width="9.140625" style="1"/>
    <col min="14594" max="14594" width="7" style="1" customWidth="1"/>
    <col min="14595" max="14595" width="10.7109375" style="1" customWidth="1"/>
    <col min="14596" max="14596" width="15.7109375" style="1" customWidth="1"/>
    <col min="14597" max="14598" width="13.42578125" style="1" customWidth="1"/>
    <col min="14599" max="14599" width="17.85546875" style="1" customWidth="1"/>
    <col min="14600" max="14600" width="16" style="1" customWidth="1"/>
    <col min="14601" max="14601" width="43.42578125" style="1" customWidth="1"/>
    <col min="14602" max="14849" width="9.140625" style="1"/>
    <col min="14850" max="14850" width="7" style="1" customWidth="1"/>
    <col min="14851" max="14851" width="10.7109375" style="1" customWidth="1"/>
    <col min="14852" max="14852" width="15.7109375" style="1" customWidth="1"/>
    <col min="14853" max="14854" width="13.42578125" style="1" customWidth="1"/>
    <col min="14855" max="14855" width="17.85546875" style="1" customWidth="1"/>
    <col min="14856" max="14856" width="16" style="1" customWidth="1"/>
    <col min="14857" max="14857" width="43.42578125" style="1" customWidth="1"/>
    <col min="14858" max="15105" width="9.140625" style="1"/>
    <col min="15106" max="15106" width="7" style="1" customWidth="1"/>
    <col min="15107" max="15107" width="10.7109375" style="1" customWidth="1"/>
    <col min="15108" max="15108" width="15.7109375" style="1" customWidth="1"/>
    <col min="15109" max="15110" width="13.42578125" style="1" customWidth="1"/>
    <col min="15111" max="15111" width="17.85546875" style="1" customWidth="1"/>
    <col min="15112" max="15112" width="16" style="1" customWidth="1"/>
    <col min="15113" max="15113" width="43.42578125" style="1" customWidth="1"/>
    <col min="15114" max="15361" width="9.140625" style="1"/>
    <col min="15362" max="15362" width="7" style="1" customWidth="1"/>
    <col min="15363" max="15363" width="10.7109375" style="1" customWidth="1"/>
    <col min="15364" max="15364" width="15.7109375" style="1" customWidth="1"/>
    <col min="15365" max="15366" width="13.42578125" style="1" customWidth="1"/>
    <col min="15367" max="15367" width="17.85546875" style="1" customWidth="1"/>
    <col min="15368" max="15368" width="16" style="1" customWidth="1"/>
    <col min="15369" max="15369" width="43.42578125" style="1" customWidth="1"/>
    <col min="15370" max="15617" width="9.140625" style="1"/>
    <col min="15618" max="15618" width="7" style="1" customWidth="1"/>
    <col min="15619" max="15619" width="10.7109375" style="1" customWidth="1"/>
    <col min="15620" max="15620" width="15.7109375" style="1" customWidth="1"/>
    <col min="15621" max="15622" width="13.42578125" style="1" customWidth="1"/>
    <col min="15623" max="15623" width="17.85546875" style="1" customWidth="1"/>
    <col min="15624" max="15624" width="16" style="1" customWidth="1"/>
    <col min="15625" max="15625" width="43.42578125" style="1" customWidth="1"/>
    <col min="15626" max="15873" width="9.140625" style="1"/>
    <col min="15874" max="15874" width="7" style="1" customWidth="1"/>
    <col min="15875" max="15875" width="10.7109375" style="1" customWidth="1"/>
    <col min="15876" max="15876" width="15.7109375" style="1" customWidth="1"/>
    <col min="15877" max="15878" width="13.42578125" style="1" customWidth="1"/>
    <col min="15879" max="15879" width="17.85546875" style="1" customWidth="1"/>
    <col min="15880" max="15880" width="16" style="1" customWidth="1"/>
    <col min="15881" max="15881" width="43.42578125" style="1" customWidth="1"/>
    <col min="15882" max="16129" width="9.140625" style="1"/>
    <col min="16130" max="16130" width="7" style="1" customWidth="1"/>
    <col min="16131" max="16131" width="10.7109375" style="1" customWidth="1"/>
    <col min="16132" max="16132" width="15.7109375" style="1" customWidth="1"/>
    <col min="16133" max="16134" width="13.42578125" style="1" customWidth="1"/>
    <col min="16135" max="16135" width="17.85546875" style="1" customWidth="1"/>
    <col min="16136" max="16136" width="16" style="1" customWidth="1"/>
    <col min="16137" max="16137" width="43.42578125" style="1" customWidth="1"/>
    <col min="16138" max="16384" width="9.140625" style="1"/>
  </cols>
  <sheetData>
    <row r="1" spans="1:9" ht="50.25" customHeight="1">
      <c r="A1" s="30"/>
      <c r="B1" s="30"/>
      <c r="C1" s="35"/>
      <c r="D1" s="35"/>
      <c r="E1" s="34"/>
      <c r="F1" s="34"/>
      <c r="G1" s="34"/>
      <c r="H1" s="3322" t="s">
        <v>1229</v>
      </c>
      <c r="I1" s="3322"/>
    </row>
    <row r="2" spans="1:9" ht="46.5" customHeight="1">
      <c r="A2" s="3323" t="s">
        <v>56</v>
      </c>
      <c r="B2" s="3323"/>
      <c r="C2" s="3323"/>
      <c r="D2" s="3323"/>
      <c r="E2" s="3323"/>
      <c r="F2" s="3323"/>
      <c r="G2" s="3323"/>
      <c r="H2" s="3323"/>
      <c r="I2" s="3323"/>
    </row>
    <row r="3" spans="1:9" ht="15.75" thickBot="1">
      <c r="A3" s="6"/>
      <c r="B3" s="6"/>
      <c r="C3" s="6"/>
      <c r="D3" s="6"/>
      <c r="E3" s="6"/>
      <c r="F3" s="6"/>
      <c r="G3" s="6"/>
      <c r="H3" s="6"/>
      <c r="I3" s="5" t="s">
        <v>9</v>
      </c>
    </row>
    <row r="4" spans="1:9" ht="23.25" customHeight="1" thickBot="1">
      <c r="A4" s="3324" t="s">
        <v>0</v>
      </c>
      <c r="B4" s="3326" t="s">
        <v>1</v>
      </c>
      <c r="C4" s="3328" t="s">
        <v>51</v>
      </c>
      <c r="D4" s="3332" t="s">
        <v>3</v>
      </c>
      <c r="E4" s="3330" t="s">
        <v>47</v>
      </c>
      <c r="F4" s="3334" t="s">
        <v>45</v>
      </c>
      <c r="G4" s="3335"/>
      <c r="H4" s="3332" t="s">
        <v>50</v>
      </c>
      <c r="I4" s="3324" t="s">
        <v>49</v>
      </c>
    </row>
    <row r="5" spans="1:9" ht="15" customHeight="1" thickBot="1">
      <c r="A5" s="3324"/>
      <c r="B5" s="3326"/>
      <c r="C5" s="3328"/>
      <c r="D5" s="3332"/>
      <c r="E5" s="3330"/>
      <c r="F5" s="3336" t="s">
        <v>8</v>
      </c>
      <c r="G5" s="3338" t="s">
        <v>7</v>
      </c>
      <c r="H5" s="3332"/>
      <c r="I5" s="3324"/>
    </row>
    <row r="6" spans="1:9" ht="9" customHeight="1" thickBot="1">
      <c r="A6" s="3325"/>
      <c r="B6" s="3327"/>
      <c r="C6" s="3329"/>
      <c r="D6" s="3333"/>
      <c r="E6" s="3331"/>
      <c r="F6" s="3337"/>
      <c r="G6" s="3339"/>
      <c r="H6" s="3333"/>
      <c r="I6" s="3325"/>
    </row>
    <row r="7" spans="1:9" ht="27.75" customHeight="1" thickBot="1">
      <c r="A7" s="3285" t="s">
        <v>4</v>
      </c>
      <c r="B7" s="3310" t="s">
        <v>82</v>
      </c>
      <c r="C7" s="3311"/>
      <c r="D7" s="294"/>
      <c r="E7" s="288">
        <f>SUM(E8:E11)</f>
        <v>1322773</v>
      </c>
      <c r="F7" s="130">
        <f>SUM(F8:F10)</f>
        <v>0</v>
      </c>
      <c r="G7" s="153">
        <f>SUM(G8:G11)</f>
        <v>1322773</v>
      </c>
      <c r="H7" s="155"/>
      <c r="I7" s="150"/>
    </row>
    <row r="8" spans="1:9" ht="91.5" customHeight="1">
      <c r="A8" s="3318"/>
      <c r="B8" s="3312" t="s">
        <v>61</v>
      </c>
      <c r="C8" s="3314" t="s">
        <v>106</v>
      </c>
      <c r="D8" s="3319">
        <v>6300</v>
      </c>
      <c r="E8" s="289">
        <f>SUM(F8:G8)</f>
        <v>345000</v>
      </c>
      <c r="F8" s="173">
        <v>0</v>
      </c>
      <c r="G8" s="174">
        <f>525000+430000-610000</f>
        <v>345000</v>
      </c>
      <c r="H8" s="175" t="s">
        <v>108</v>
      </c>
      <c r="I8" s="176" t="s">
        <v>197</v>
      </c>
    </row>
    <row r="9" spans="1:9" ht="50.25" customHeight="1">
      <c r="A9" s="3318"/>
      <c r="B9" s="3313"/>
      <c r="C9" s="3315"/>
      <c r="D9" s="3320"/>
      <c r="E9" s="290">
        <f>SUM(F9:G9)</f>
        <v>277773</v>
      </c>
      <c r="F9" s="261">
        <v>0</v>
      </c>
      <c r="G9" s="262">
        <v>277773</v>
      </c>
      <c r="H9" s="177" t="s">
        <v>107</v>
      </c>
      <c r="I9" s="178" t="s">
        <v>202</v>
      </c>
    </row>
    <row r="10" spans="1:9" ht="32.25" customHeight="1">
      <c r="A10" s="3318"/>
      <c r="B10" s="328" t="s">
        <v>133</v>
      </c>
      <c r="C10" s="329" t="s">
        <v>179</v>
      </c>
      <c r="D10" s="3320"/>
      <c r="E10" s="330">
        <f>SUM(F10:G10)</f>
        <v>200000</v>
      </c>
      <c r="F10" s="331"/>
      <c r="G10" s="332">
        <v>200000</v>
      </c>
      <c r="H10" s="333" t="s">
        <v>134</v>
      </c>
      <c r="I10" s="334" t="s">
        <v>201</v>
      </c>
    </row>
    <row r="11" spans="1:9" ht="57.75" customHeight="1" thickBot="1">
      <c r="A11" s="3286"/>
      <c r="B11" s="335" t="s">
        <v>198</v>
      </c>
      <c r="C11" s="336" t="s">
        <v>199</v>
      </c>
      <c r="D11" s="3321"/>
      <c r="E11" s="330">
        <f>SUM(F11:G11)</f>
        <v>500000</v>
      </c>
      <c r="F11" s="337"/>
      <c r="G11" s="338">
        <v>500000</v>
      </c>
      <c r="H11" s="179" t="s">
        <v>200</v>
      </c>
      <c r="I11" s="307" t="s">
        <v>206</v>
      </c>
    </row>
    <row r="12" spans="1:9" ht="29.25" customHeight="1" thickBot="1">
      <c r="A12" s="3285" t="s">
        <v>191</v>
      </c>
      <c r="B12" s="3316" t="s">
        <v>189</v>
      </c>
      <c r="C12" s="3317"/>
      <c r="D12" s="295"/>
      <c r="E12" s="291">
        <f>SUM(E13:E13)</f>
        <v>200000</v>
      </c>
      <c r="F12" s="129">
        <f>SUM(F13:F13)</f>
        <v>0</v>
      </c>
      <c r="G12" s="154">
        <f>SUM(G13:G13)</f>
        <v>200000</v>
      </c>
      <c r="H12" s="156"/>
      <c r="I12" s="151"/>
    </row>
    <row r="13" spans="1:9" ht="48.75" customHeight="1" thickBot="1">
      <c r="A13" s="3286"/>
      <c r="B13" s="276" t="s">
        <v>192</v>
      </c>
      <c r="C13" s="287" t="s">
        <v>190</v>
      </c>
      <c r="D13" s="308">
        <v>6300</v>
      </c>
      <c r="E13" s="292">
        <f>SUM(F13:G13)</f>
        <v>200000</v>
      </c>
      <c r="F13" s="106">
        <v>0</v>
      </c>
      <c r="G13" s="128">
        <v>200000</v>
      </c>
      <c r="H13" s="157" t="s">
        <v>203</v>
      </c>
      <c r="I13" s="152" t="s">
        <v>205</v>
      </c>
    </row>
    <row r="14" spans="1:9" ht="32.25" customHeight="1" thickBot="1">
      <c r="A14" s="3285" t="s">
        <v>165</v>
      </c>
      <c r="B14" s="3316" t="s">
        <v>168</v>
      </c>
      <c r="C14" s="3317"/>
      <c r="D14" s="295"/>
      <c r="E14" s="291">
        <f>SUM(E15:E15)</f>
        <v>350000</v>
      </c>
      <c r="F14" s="129">
        <f>SUM(F15:F15)</f>
        <v>0</v>
      </c>
      <c r="G14" s="154">
        <f>SUM(G15:G15)</f>
        <v>350000</v>
      </c>
      <c r="H14" s="156"/>
      <c r="I14" s="151"/>
    </row>
    <row r="15" spans="1:9" ht="51" customHeight="1" thickBot="1">
      <c r="A15" s="3286"/>
      <c r="B15" s="276" t="s">
        <v>166</v>
      </c>
      <c r="C15" s="287" t="s">
        <v>167</v>
      </c>
      <c r="D15" s="296">
        <v>6300</v>
      </c>
      <c r="E15" s="292">
        <f>SUM(F15:G15)</f>
        <v>350000</v>
      </c>
      <c r="F15" s="106">
        <v>0</v>
      </c>
      <c r="G15" s="128">
        <v>350000</v>
      </c>
      <c r="H15" s="157" t="s">
        <v>170</v>
      </c>
      <c r="I15" s="152" t="s">
        <v>169</v>
      </c>
    </row>
    <row r="16" spans="1:9" ht="30" customHeight="1" thickBot="1">
      <c r="A16" s="3285" t="s">
        <v>80</v>
      </c>
      <c r="B16" s="3316" t="s">
        <v>172</v>
      </c>
      <c r="C16" s="3317"/>
      <c r="D16" s="295"/>
      <c r="E16" s="291">
        <f>SUM(E17:E17)</f>
        <v>5000000</v>
      </c>
      <c r="F16" s="129">
        <f>SUM(F17:F17)</f>
        <v>0</v>
      </c>
      <c r="G16" s="154">
        <f>SUM(G17:G17)</f>
        <v>5000000</v>
      </c>
      <c r="H16" s="156"/>
      <c r="I16" s="151"/>
    </row>
    <row r="17" spans="1:9" ht="36.75" customHeight="1" thickBot="1">
      <c r="A17" s="3286"/>
      <c r="B17" s="276" t="s">
        <v>171</v>
      </c>
      <c r="C17" s="287" t="s">
        <v>178</v>
      </c>
      <c r="D17" s="296">
        <v>6300</v>
      </c>
      <c r="E17" s="292">
        <f>SUM(F17:G17)</f>
        <v>5000000</v>
      </c>
      <c r="F17" s="106">
        <v>0</v>
      </c>
      <c r="G17" s="128">
        <v>5000000</v>
      </c>
      <c r="H17" s="157" t="s">
        <v>173</v>
      </c>
      <c r="I17" s="152" t="s">
        <v>204</v>
      </c>
    </row>
    <row r="18" spans="1:9" ht="30" customHeight="1" thickBot="1">
      <c r="A18" s="3308" t="s">
        <v>48</v>
      </c>
      <c r="B18" s="3308"/>
      <c r="C18" s="3309"/>
      <c r="D18" s="63"/>
      <c r="E18" s="293">
        <f>SUM(F18:G18)</f>
        <v>6872773</v>
      </c>
      <c r="F18" s="63">
        <f>SUM(F7,F14,F16)</f>
        <v>0</v>
      </c>
      <c r="G18" s="63">
        <f>SUM(G7,G14,G16,G12)</f>
        <v>6872773</v>
      </c>
      <c r="H18" s="63"/>
      <c r="I18" s="64"/>
    </row>
    <row r="31" spans="1:9">
      <c r="D31" s="37"/>
    </row>
  </sheetData>
  <mergeCells count="24">
    <mergeCell ref="D8:D11"/>
    <mergeCell ref="A12:A13"/>
    <mergeCell ref="B12:C12"/>
    <mergeCell ref="H1:I1"/>
    <mergeCell ref="A2:I2"/>
    <mergeCell ref="A4:A6"/>
    <mergeCell ref="B4:B6"/>
    <mergeCell ref="C4:C6"/>
    <mergeCell ref="E4:E6"/>
    <mergeCell ref="H4:H6"/>
    <mergeCell ref="I4:I6"/>
    <mergeCell ref="D4:D6"/>
    <mergeCell ref="F4:G4"/>
    <mergeCell ref="F5:F6"/>
    <mergeCell ref="G5:G6"/>
    <mergeCell ref="A18:C18"/>
    <mergeCell ref="B7:C7"/>
    <mergeCell ref="B8:B9"/>
    <mergeCell ref="C8:C9"/>
    <mergeCell ref="A14:A15"/>
    <mergeCell ref="B14:C14"/>
    <mergeCell ref="A16:A17"/>
    <mergeCell ref="B16:C16"/>
    <mergeCell ref="A7:A11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75" orientation="landscape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I23"/>
  <sheetViews>
    <sheetView view="pageBreakPreview" zoomScaleNormal="100" zoomScaleSheetLayoutView="100" workbookViewId="0">
      <selection activeCell="M7" sqref="M7"/>
    </sheetView>
  </sheetViews>
  <sheetFormatPr defaultRowHeight="12.75"/>
  <cols>
    <col min="1" max="1" width="8.28515625" style="1" customWidth="1"/>
    <col min="2" max="2" width="10.5703125" style="1" customWidth="1"/>
    <col min="3" max="3" width="15.140625" style="1" customWidth="1"/>
    <col min="4" max="4" width="12.28515625" style="1" customWidth="1"/>
    <col min="5" max="6" width="12" style="1" customWidth="1"/>
    <col min="7" max="8" width="13.85546875" style="1" customWidth="1"/>
    <col min="9" max="9" width="51.5703125" style="1" customWidth="1"/>
    <col min="10" max="257" width="9.140625" style="1"/>
    <col min="258" max="258" width="8.28515625" style="1" customWidth="1"/>
    <col min="259" max="259" width="10.5703125" style="1" customWidth="1"/>
    <col min="260" max="260" width="15.140625" style="1" customWidth="1"/>
    <col min="261" max="262" width="12" style="1" customWidth="1"/>
    <col min="263" max="264" width="13.85546875" style="1" customWidth="1"/>
    <col min="265" max="265" width="51.5703125" style="1" customWidth="1"/>
    <col min="266" max="513" width="9.140625" style="1"/>
    <col min="514" max="514" width="8.28515625" style="1" customWidth="1"/>
    <col min="515" max="515" width="10.5703125" style="1" customWidth="1"/>
    <col min="516" max="516" width="15.140625" style="1" customWidth="1"/>
    <col min="517" max="518" width="12" style="1" customWidth="1"/>
    <col min="519" max="520" width="13.85546875" style="1" customWidth="1"/>
    <col min="521" max="521" width="51.5703125" style="1" customWidth="1"/>
    <col min="522" max="769" width="9.140625" style="1"/>
    <col min="770" max="770" width="8.28515625" style="1" customWidth="1"/>
    <col min="771" max="771" width="10.5703125" style="1" customWidth="1"/>
    <col min="772" max="772" width="15.140625" style="1" customWidth="1"/>
    <col min="773" max="774" width="12" style="1" customWidth="1"/>
    <col min="775" max="776" width="13.85546875" style="1" customWidth="1"/>
    <col min="777" max="777" width="51.5703125" style="1" customWidth="1"/>
    <col min="778" max="1025" width="9.140625" style="1"/>
    <col min="1026" max="1026" width="8.28515625" style="1" customWidth="1"/>
    <col min="1027" max="1027" width="10.5703125" style="1" customWidth="1"/>
    <col min="1028" max="1028" width="15.140625" style="1" customWidth="1"/>
    <col min="1029" max="1030" width="12" style="1" customWidth="1"/>
    <col min="1031" max="1032" width="13.85546875" style="1" customWidth="1"/>
    <col min="1033" max="1033" width="51.5703125" style="1" customWidth="1"/>
    <col min="1034" max="1281" width="9.140625" style="1"/>
    <col min="1282" max="1282" width="8.28515625" style="1" customWidth="1"/>
    <col min="1283" max="1283" width="10.5703125" style="1" customWidth="1"/>
    <col min="1284" max="1284" width="15.140625" style="1" customWidth="1"/>
    <col min="1285" max="1286" width="12" style="1" customWidth="1"/>
    <col min="1287" max="1288" width="13.85546875" style="1" customWidth="1"/>
    <col min="1289" max="1289" width="51.5703125" style="1" customWidth="1"/>
    <col min="1290" max="1537" width="9.140625" style="1"/>
    <col min="1538" max="1538" width="8.28515625" style="1" customWidth="1"/>
    <col min="1539" max="1539" width="10.5703125" style="1" customWidth="1"/>
    <col min="1540" max="1540" width="15.140625" style="1" customWidth="1"/>
    <col min="1541" max="1542" width="12" style="1" customWidth="1"/>
    <col min="1543" max="1544" width="13.85546875" style="1" customWidth="1"/>
    <col min="1545" max="1545" width="51.5703125" style="1" customWidth="1"/>
    <col min="1546" max="1793" width="9.140625" style="1"/>
    <col min="1794" max="1794" width="8.28515625" style="1" customWidth="1"/>
    <col min="1795" max="1795" width="10.5703125" style="1" customWidth="1"/>
    <col min="1796" max="1796" width="15.140625" style="1" customWidth="1"/>
    <col min="1797" max="1798" width="12" style="1" customWidth="1"/>
    <col min="1799" max="1800" width="13.85546875" style="1" customWidth="1"/>
    <col min="1801" max="1801" width="51.5703125" style="1" customWidth="1"/>
    <col min="1802" max="2049" width="9.140625" style="1"/>
    <col min="2050" max="2050" width="8.28515625" style="1" customWidth="1"/>
    <col min="2051" max="2051" width="10.5703125" style="1" customWidth="1"/>
    <col min="2052" max="2052" width="15.140625" style="1" customWidth="1"/>
    <col min="2053" max="2054" width="12" style="1" customWidth="1"/>
    <col min="2055" max="2056" width="13.85546875" style="1" customWidth="1"/>
    <col min="2057" max="2057" width="51.5703125" style="1" customWidth="1"/>
    <col min="2058" max="2305" width="9.140625" style="1"/>
    <col min="2306" max="2306" width="8.28515625" style="1" customWidth="1"/>
    <col min="2307" max="2307" width="10.5703125" style="1" customWidth="1"/>
    <col min="2308" max="2308" width="15.140625" style="1" customWidth="1"/>
    <col min="2309" max="2310" width="12" style="1" customWidth="1"/>
    <col min="2311" max="2312" width="13.85546875" style="1" customWidth="1"/>
    <col min="2313" max="2313" width="51.5703125" style="1" customWidth="1"/>
    <col min="2314" max="2561" width="9.140625" style="1"/>
    <col min="2562" max="2562" width="8.28515625" style="1" customWidth="1"/>
    <col min="2563" max="2563" width="10.5703125" style="1" customWidth="1"/>
    <col min="2564" max="2564" width="15.140625" style="1" customWidth="1"/>
    <col min="2565" max="2566" width="12" style="1" customWidth="1"/>
    <col min="2567" max="2568" width="13.85546875" style="1" customWidth="1"/>
    <col min="2569" max="2569" width="51.5703125" style="1" customWidth="1"/>
    <col min="2570" max="2817" width="9.140625" style="1"/>
    <col min="2818" max="2818" width="8.28515625" style="1" customWidth="1"/>
    <col min="2819" max="2819" width="10.5703125" style="1" customWidth="1"/>
    <col min="2820" max="2820" width="15.140625" style="1" customWidth="1"/>
    <col min="2821" max="2822" width="12" style="1" customWidth="1"/>
    <col min="2823" max="2824" width="13.85546875" style="1" customWidth="1"/>
    <col min="2825" max="2825" width="51.5703125" style="1" customWidth="1"/>
    <col min="2826" max="3073" width="9.140625" style="1"/>
    <col min="3074" max="3074" width="8.28515625" style="1" customWidth="1"/>
    <col min="3075" max="3075" width="10.5703125" style="1" customWidth="1"/>
    <col min="3076" max="3076" width="15.140625" style="1" customWidth="1"/>
    <col min="3077" max="3078" width="12" style="1" customWidth="1"/>
    <col min="3079" max="3080" width="13.85546875" style="1" customWidth="1"/>
    <col min="3081" max="3081" width="51.5703125" style="1" customWidth="1"/>
    <col min="3082" max="3329" width="9.140625" style="1"/>
    <col min="3330" max="3330" width="8.28515625" style="1" customWidth="1"/>
    <col min="3331" max="3331" width="10.5703125" style="1" customWidth="1"/>
    <col min="3332" max="3332" width="15.140625" style="1" customWidth="1"/>
    <col min="3333" max="3334" width="12" style="1" customWidth="1"/>
    <col min="3335" max="3336" width="13.85546875" style="1" customWidth="1"/>
    <col min="3337" max="3337" width="51.5703125" style="1" customWidth="1"/>
    <col min="3338" max="3585" width="9.140625" style="1"/>
    <col min="3586" max="3586" width="8.28515625" style="1" customWidth="1"/>
    <col min="3587" max="3587" width="10.5703125" style="1" customWidth="1"/>
    <col min="3588" max="3588" width="15.140625" style="1" customWidth="1"/>
    <col min="3589" max="3590" width="12" style="1" customWidth="1"/>
    <col min="3591" max="3592" width="13.85546875" style="1" customWidth="1"/>
    <col min="3593" max="3593" width="51.5703125" style="1" customWidth="1"/>
    <col min="3594" max="3841" width="9.140625" style="1"/>
    <col min="3842" max="3842" width="8.28515625" style="1" customWidth="1"/>
    <col min="3843" max="3843" width="10.5703125" style="1" customWidth="1"/>
    <col min="3844" max="3844" width="15.140625" style="1" customWidth="1"/>
    <col min="3845" max="3846" width="12" style="1" customWidth="1"/>
    <col min="3847" max="3848" width="13.85546875" style="1" customWidth="1"/>
    <col min="3849" max="3849" width="51.5703125" style="1" customWidth="1"/>
    <col min="3850" max="4097" width="9.140625" style="1"/>
    <col min="4098" max="4098" width="8.28515625" style="1" customWidth="1"/>
    <col min="4099" max="4099" width="10.5703125" style="1" customWidth="1"/>
    <col min="4100" max="4100" width="15.140625" style="1" customWidth="1"/>
    <col min="4101" max="4102" width="12" style="1" customWidth="1"/>
    <col min="4103" max="4104" width="13.85546875" style="1" customWidth="1"/>
    <col min="4105" max="4105" width="51.5703125" style="1" customWidth="1"/>
    <col min="4106" max="4353" width="9.140625" style="1"/>
    <col min="4354" max="4354" width="8.28515625" style="1" customWidth="1"/>
    <col min="4355" max="4355" width="10.5703125" style="1" customWidth="1"/>
    <col min="4356" max="4356" width="15.140625" style="1" customWidth="1"/>
    <col min="4357" max="4358" width="12" style="1" customWidth="1"/>
    <col min="4359" max="4360" width="13.85546875" style="1" customWidth="1"/>
    <col min="4361" max="4361" width="51.5703125" style="1" customWidth="1"/>
    <col min="4362" max="4609" width="9.140625" style="1"/>
    <col min="4610" max="4610" width="8.28515625" style="1" customWidth="1"/>
    <col min="4611" max="4611" width="10.5703125" style="1" customWidth="1"/>
    <col min="4612" max="4612" width="15.140625" style="1" customWidth="1"/>
    <col min="4613" max="4614" width="12" style="1" customWidth="1"/>
    <col min="4615" max="4616" width="13.85546875" style="1" customWidth="1"/>
    <col min="4617" max="4617" width="51.5703125" style="1" customWidth="1"/>
    <col min="4618" max="4865" width="9.140625" style="1"/>
    <col min="4866" max="4866" width="8.28515625" style="1" customWidth="1"/>
    <col min="4867" max="4867" width="10.5703125" style="1" customWidth="1"/>
    <col min="4868" max="4868" width="15.140625" style="1" customWidth="1"/>
    <col min="4869" max="4870" width="12" style="1" customWidth="1"/>
    <col min="4871" max="4872" width="13.85546875" style="1" customWidth="1"/>
    <col min="4873" max="4873" width="51.5703125" style="1" customWidth="1"/>
    <col min="4874" max="5121" width="9.140625" style="1"/>
    <col min="5122" max="5122" width="8.28515625" style="1" customWidth="1"/>
    <col min="5123" max="5123" width="10.5703125" style="1" customWidth="1"/>
    <col min="5124" max="5124" width="15.140625" style="1" customWidth="1"/>
    <col min="5125" max="5126" width="12" style="1" customWidth="1"/>
    <col min="5127" max="5128" width="13.85546875" style="1" customWidth="1"/>
    <col min="5129" max="5129" width="51.5703125" style="1" customWidth="1"/>
    <col min="5130" max="5377" width="9.140625" style="1"/>
    <col min="5378" max="5378" width="8.28515625" style="1" customWidth="1"/>
    <col min="5379" max="5379" width="10.5703125" style="1" customWidth="1"/>
    <col min="5380" max="5380" width="15.140625" style="1" customWidth="1"/>
    <col min="5381" max="5382" width="12" style="1" customWidth="1"/>
    <col min="5383" max="5384" width="13.85546875" style="1" customWidth="1"/>
    <col min="5385" max="5385" width="51.5703125" style="1" customWidth="1"/>
    <col min="5386" max="5633" width="9.140625" style="1"/>
    <col min="5634" max="5634" width="8.28515625" style="1" customWidth="1"/>
    <col min="5635" max="5635" width="10.5703125" style="1" customWidth="1"/>
    <col min="5636" max="5636" width="15.140625" style="1" customWidth="1"/>
    <col min="5637" max="5638" width="12" style="1" customWidth="1"/>
    <col min="5639" max="5640" width="13.85546875" style="1" customWidth="1"/>
    <col min="5641" max="5641" width="51.5703125" style="1" customWidth="1"/>
    <col min="5642" max="5889" width="9.140625" style="1"/>
    <col min="5890" max="5890" width="8.28515625" style="1" customWidth="1"/>
    <col min="5891" max="5891" width="10.5703125" style="1" customWidth="1"/>
    <col min="5892" max="5892" width="15.140625" style="1" customWidth="1"/>
    <col min="5893" max="5894" width="12" style="1" customWidth="1"/>
    <col min="5895" max="5896" width="13.85546875" style="1" customWidth="1"/>
    <col min="5897" max="5897" width="51.5703125" style="1" customWidth="1"/>
    <col min="5898" max="6145" width="9.140625" style="1"/>
    <col min="6146" max="6146" width="8.28515625" style="1" customWidth="1"/>
    <col min="6147" max="6147" width="10.5703125" style="1" customWidth="1"/>
    <col min="6148" max="6148" width="15.140625" style="1" customWidth="1"/>
    <col min="6149" max="6150" width="12" style="1" customWidth="1"/>
    <col min="6151" max="6152" width="13.85546875" style="1" customWidth="1"/>
    <col min="6153" max="6153" width="51.5703125" style="1" customWidth="1"/>
    <col min="6154" max="6401" width="9.140625" style="1"/>
    <col min="6402" max="6402" width="8.28515625" style="1" customWidth="1"/>
    <col min="6403" max="6403" width="10.5703125" style="1" customWidth="1"/>
    <col min="6404" max="6404" width="15.140625" style="1" customWidth="1"/>
    <col min="6405" max="6406" width="12" style="1" customWidth="1"/>
    <col min="6407" max="6408" width="13.85546875" style="1" customWidth="1"/>
    <col min="6409" max="6409" width="51.5703125" style="1" customWidth="1"/>
    <col min="6410" max="6657" width="9.140625" style="1"/>
    <col min="6658" max="6658" width="8.28515625" style="1" customWidth="1"/>
    <col min="6659" max="6659" width="10.5703125" style="1" customWidth="1"/>
    <col min="6660" max="6660" width="15.140625" style="1" customWidth="1"/>
    <col min="6661" max="6662" width="12" style="1" customWidth="1"/>
    <col min="6663" max="6664" width="13.85546875" style="1" customWidth="1"/>
    <col min="6665" max="6665" width="51.5703125" style="1" customWidth="1"/>
    <col min="6666" max="6913" width="9.140625" style="1"/>
    <col min="6914" max="6914" width="8.28515625" style="1" customWidth="1"/>
    <col min="6915" max="6915" width="10.5703125" style="1" customWidth="1"/>
    <col min="6916" max="6916" width="15.140625" style="1" customWidth="1"/>
    <col min="6917" max="6918" width="12" style="1" customWidth="1"/>
    <col min="6919" max="6920" width="13.85546875" style="1" customWidth="1"/>
    <col min="6921" max="6921" width="51.5703125" style="1" customWidth="1"/>
    <col min="6922" max="7169" width="9.140625" style="1"/>
    <col min="7170" max="7170" width="8.28515625" style="1" customWidth="1"/>
    <col min="7171" max="7171" width="10.5703125" style="1" customWidth="1"/>
    <col min="7172" max="7172" width="15.140625" style="1" customWidth="1"/>
    <col min="7173" max="7174" width="12" style="1" customWidth="1"/>
    <col min="7175" max="7176" width="13.85546875" style="1" customWidth="1"/>
    <col min="7177" max="7177" width="51.5703125" style="1" customWidth="1"/>
    <col min="7178" max="7425" width="9.140625" style="1"/>
    <col min="7426" max="7426" width="8.28515625" style="1" customWidth="1"/>
    <col min="7427" max="7427" width="10.5703125" style="1" customWidth="1"/>
    <col min="7428" max="7428" width="15.140625" style="1" customWidth="1"/>
    <col min="7429" max="7430" width="12" style="1" customWidth="1"/>
    <col min="7431" max="7432" width="13.85546875" style="1" customWidth="1"/>
    <col min="7433" max="7433" width="51.5703125" style="1" customWidth="1"/>
    <col min="7434" max="7681" width="9.140625" style="1"/>
    <col min="7682" max="7682" width="8.28515625" style="1" customWidth="1"/>
    <col min="7683" max="7683" width="10.5703125" style="1" customWidth="1"/>
    <col min="7684" max="7684" width="15.140625" style="1" customWidth="1"/>
    <col min="7685" max="7686" width="12" style="1" customWidth="1"/>
    <col min="7687" max="7688" width="13.85546875" style="1" customWidth="1"/>
    <col min="7689" max="7689" width="51.5703125" style="1" customWidth="1"/>
    <col min="7690" max="7937" width="9.140625" style="1"/>
    <col min="7938" max="7938" width="8.28515625" style="1" customWidth="1"/>
    <col min="7939" max="7939" width="10.5703125" style="1" customWidth="1"/>
    <col min="7940" max="7940" width="15.140625" style="1" customWidth="1"/>
    <col min="7941" max="7942" width="12" style="1" customWidth="1"/>
    <col min="7943" max="7944" width="13.85546875" style="1" customWidth="1"/>
    <col min="7945" max="7945" width="51.5703125" style="1" customWidth="1"/>
    <col min="7946" max="8193" width="9.140625" style="1"/>
    <col min="8194" max="8194" width="8.28515625" style="1" customWidth="1"/>
    <col min="8195" max="8195" width="10.5703125" style="1" customWidth="1"/>
    <col min="8196" max="8196" width="15.140625" style="1" customWidth="1"/>
    <col min="8197" max="8198" width="12" style="1" customWidth="1"/>
    <col min="8199" max="8200" width="13.85546875" style="1" customWidth="1"/>
    <col min="8201" max="8201" width="51.5703125" style="1" customWidth="1"/>
    <col min="8202" max="8449" width="9.140625" style="1"/>
    <col min="8450" max="8450" width="8.28515625" style="1" customWidth="1"/>
    <col min="8451" max="8451" width="10.5703125" style="1" customWidth="1"/>
    <col min="8452" max="8452" width="15.140625" style="1" customWidth="1"/>
    <col min="8453" max="8454" width="12" style="1" customWidth="1"/>
    <col min="8455" max="8456" width="13.85546875" style="1" customWidth="1"/>
    <col min="8457" max="8457" width="51.5703125" style="1" customWidth="1"/>
    <col min="8458" max="8705" width="9.140625" style="1"/>
    <col min="8706" max="8706" width="8.28515625" style="1" customWidth="1"/>
    <col min="8707" max="8707" width="10.5703125" style="1" customWidth="1"/>
    <col min="8708" max="8708" width="15.140625" style="1" customWidth="1"/>
    <col min="8709" max="8710" width="12" style="1" customWidth="1"/>
    <col min="8711" max="8712" width="13.85546875" style="1" customWidth="1"/>
    <col min="8713" max="8713" width="51.5703125" style="1" customWidth="1"/>
    <col min="8714" max="8961" width="9.140625" style="1"/>
    <col min="8962" max="8962" width="8.28515625" style="1" customWidth="1"/>
    <col min="8963" max="8963" width="10.5703125" style="1" customWidth="1"/>
    <col min="8964" max="8964" width="15.140625" style="1" customWidth="1"/>
    <col min="8965" max="8966" width="12" style="1" customWidth="1"/>
    <col min="8967" max="8968" width="13.85546875" style="1" customWidth="1"/>
    <col min="8969" max="8969" width="51.5703125" style="1" customWidth="1"/>
    <col min="8970" max="9217" width="9.140625" style="1"/>
    <col min="9218" max="9218" width="8.28515625" style="1" customWidth="1"/>
    <col min="9219" max="9219" width="10.5703125" style="1" customWidth="1"/>
    <col min="9220" max="9220" width="15.140625" style="1" customWidth="1"/>
    <col min="9221" max="9222" width="12" style="1" customWidth="1"/>
    <col min="9223" max="9224" width="13.85546875" style="1" customWidth="1"/>
    <col min="9225" max="9225" width="51.5703125" style="1" customWidth="1"/>
    <col min="9226" max="9473" width="9.140625" style="1"/>
    <col min="9474" max="9474" width="8.28515625" style="1" customWidth="1"/>
    <col min="9475" max="9475" width="10.5703125" style="1" customWidth="1"/>
    <col min="9476" max="9476" width="15.140625" style="1" customWidth="1"/>
    <col min="9477" max="9478" width="12" style="1" customWidth="1"/>
    <col min="9479" max="9480" width="13.85546875" style="1" customWidth="1"/>
    <col min="9481" max="9481" width="51.5703125" style="1" customWidth="1"/>
    <col min="9482" max="9729" width="9.140625" style="1"/>
    <col min="9730" max="9730" width="8.28515625" style="1" customWidth="1"/>
    <col min="9731" max="9731" width="10.5703125" style="1" customWidth="1"/>
    <col min="9732" max="9732" width="15.140625" style="1" customWidth="1"/>
    <col min="9733" max="9734" width="12" style="1" customWidth="1"/>
    <col min="9735" max="9736" width="13.85546875" style="1" customWidth="1"/>
    <col min="9737" max="9737" width="51.5703125" style="1" customWidth="1"/>
    <col min="9738" max="9985" width="9.140625" style="1"/>
    <col min="9986" max="9986" width="8.28515625" style="1" customWidth="1"/>
    <col min="9987" max="9987" width="10.5703125" style="1" customWidth="1"/>
    <col min="9988" max="9988" width="15.140625" style="1" customWidth="1"/>
    <col min="9989" max="9990" width="12" style="1" customWidth="1"/>
    <col min="9991" max="9992" width="13.85546875" style="1" customWidth="1"/>
    <col min="9993" max="9993" width="51.5703125" style="1" customWidth="1"/>
    <col min="9994" max="10241" width="9.140625" style="1"/>
    <col min="10242" max="10242" width="8.28515625" style="1" customWidth="1"/>
    <col min="10243" max="10243" width="10.5703125" style="1" customWidth="1"/>
    <col min="10244" max="10244" width="15.140625" style="1" customWidth="1"/>
    <col min="10245" max="10246" width="12" style="1" customWidth="1"/>
    <col min="10247" max="10248" width="13.85546875" style="1" customWidth="1"/>
    <col min="10249" max="10249" width="51.5703125" style="1" customWidth="1"/>
    <col min="10250" max="10497" width="9.140625" style="1"/>
    <col min="10498" max="10498" width="8.28515625" style="1" customWidth="1"/>
    <col min="10499" max="10499" width="10.5703125" style="1" customWidth="1"/>
    <col min="10500" max="10500" width="15.140625" style="1" customWidth="1"/>
    <col min="10501" max="10502" width="12" style="1" customWidth="1"/>
    <col min="10503" max="10504" width="13.85546875" style="1" customWidth="1"/>
    <col min="10505" max="10505" width="51.5703125" style="1" customWidth="1"/>
    <col min="10506" max="10753" width="9.140625" style="1"/>
    <col min="10754" max="10754" width="8.28515625" style="1" customWidth="1"/>
    <col min="10755" max="10755" width="10.5703125" style="1" customWidth="1"/>
    <col min="10756" max="10756" width="15.140625" style="1" customWidth="1"/>
    <col min="10757" max="10758" width="12" style="1" customWidth="1"/>
    <col min="10759" max="10760" width="13.85546875" style="1" customWidth="1"/>
    <col min="10761" max="10761" width="51.5703125" style="1" customWidth="1"/>
    <col min="10762" max="11009" width="9.140625" style="1"/>
    <col min="11010" max="11010" width="8.28515625" style="1" customWidth="1"/>
    <col min="11011" max="11011" width="10.5703125" style="1" customWidth="1"/>
    <col min="11012" max="11012" width="15.140625" style="1" customWidth="1"/>
    <col min="11013" max="11014" width="12" style="1" customWidth="1"/>
    <col min="11015" max="11016" width="13.85546875" style="1" customWidth="1"/>
    <col min="11017" max="11017" width="51.5703125" style="1" customWidth="1"/>
    <col min="11018" max="11265" width="9.140625" style="1"/>
    <col min="11266" max="11266" width="8.28515625" style="1" customWidth="1"/>
    <col min="11267" max="11267" width="10.5703125" style="1" customWidth="1"/>
    <col min="11268" max="11268" width="15.140625" style="1" customWidth="1"/>
    <col min="11269" max="11270" width="12" style="1" customWidth="1"/>
    <col min="11271" max="11272" width="13.85546875" style="1" customWidth="1"/>
    <col min="11273" max="11273" width="51.5703125" style="1" customWidth="1"/>
    <col min="11274" max="11521" width="9.140625" style="1"/>
    <col min="11522" max="11522" width="8.28515625" style="1" customWidth="1"/>
    <col min="11523" max="11523" width="10.5703125" style="1" customWidth="1"/>
    <col min="11524" max="11524" width="15.140625" style="1" customWidth="1"/>
    <col min="11525" max="11526" width="12" style="1" customWidth="1"/>
    <col min="11527" max="11528" width="13.85546875" style="1" customWidth="1"/>
    <col min="11529" max="11529" width="51.5703125" style="1" customWidth="1"/>
    <col min="11530" max="11777" width="9.140625" style="1"/>
    <col min="11778" max="11778" width="8.28515625" style="1" customWidth="1"/>
    <col min="11779" max="11779" width="10.5703125" style="1" customWidth="1"/>
    <col min="11780" max="11780" width="15.140625" style="1" customWidth="1"/>
    <col min="11781" max="11782" width="12" style="1" customWidth="1"/>
    <col min="11783" max="11784" width="13.85546875" style="1" customWidth="1"/>
    <col min="11785" max="11785" width="51.5703125" style="1" customWidth="1"/>
    <col min="11786" max="12033" width="9.140625" style="1"/>
    <col min="12034" max="12034" width="8.28515625" style="1" customWidth="1"/>
    <col min="12035" max="12035" width="10.5703125" style="1" customWidth="1"/>
    <col min="12036" max="12036" width="15.140625" style="1" customWidth="1"/>
    <col min="12037" max="12038" width="12" style="1" customWidth="1"/>
    <col min="12039" max="12040" width="13.85546875" style="1" customWidth="1"/>
    <col min="12041" max="12041" width="51.5703125" style="1" customWidth="1"/>
    <col min="12042" max="12289" width="9.140625" style="1"/>
    <col min="12290" max="12290" width="8.28515625" style="1" customWidth="1"/>
    <col min="12291" max="12291" width="10.5703125" style="1" customWidth="1"/>
    <col min="12292" max="12292" width="15.140625" style="1" customWidth="1"/>
    <col min="12293" max="12294" width="12" style="1" customWidth="1"/>
    <col min="12295" max="12296" width="13.85546875" style="1" customWidth="1"/>
    <col min="12297" max="12297" width="51.5703125" style="1" customWidth="1"/>
    <col min="12298" max="12545" width="9.140625" style="1"/>
    <col min="12546" max="12546" width="8.28515625" style="1" customWidth="1"/>
    <col min="12547" max="12547" width="10.5703125" style="1" customWidth="1"/>
    <col min="12548" max="12548" width="15.140625" style="1" customWidth="1"/>
    <col min="12549" max="12550" width="12" style="1" customWidth="1"/>
    <col min="12551" max="12552" width="13.85546875" style="1" customWidth="1"/>
    <col min="12553" max="12553" width="51.5703125" style="1" customWidth="1"/>
    <col min="12554" max="12801" width="9.140625" style="1"/>
    <col min="12802" max="12802" width="8.28515625" style="1" customWidth="1"/>
    <col min="12803" max="12803" width="10.5703125" style="1" customWidth="1"/>
    <col min="12804" max="12804" width="15.140625" style="1" customWidth="1"/>
    <col min="12805" max="12806" width="12" style="1" customWidth="1"/>
    <col min="12807" max="12808" width="13.85546875" style="1" customWidth="1"/>
    <col min="12809" max="12809" width="51.5703125" style="1" customWidth="1"/>
    <col min="12810" max="13057" width="9.140625" style="1"/>
    <col min="13058" max="13058" width="8.28515625" style="1" customWidth="1"/>
    <col min="13059" max="13059" width="10.5703125" style="1" customWidth="1"/>
    <col min="13060" max="13060" width="15.140625" style="1" customWidth="1"/>
    <col min="13061" max="13062" width="12" style="1" customWidth="1"/>
    <col min="13063" max="13064" width="13.85546875" style="1" customWidth="1"/>
    <col min="13065" max="13065" width="51.5703125" style="1" customWidth="1"/>
    <col min="13066" max="13313" width="9.140625" style="1"/>
    <col min="13314" max="13314" width="8.28515625" style="1" customWidth="1"/>
    <col min="13315" max="13315" width="10.5703125" style="1" customWidth="1"/>
    <col min="13316" max="13316" width="15.140625" style="1" customWidth="1"/>
    <col min="13317" max="13318" width="12" style="1" customWidth="1"/>
    <col min="13319" max="13320" width="13.85546875" style="1" customWidth="1"/>
    <col min="13321" max="13321" width="51.5703125" style="1" customWidth="1"/>
    <col min="13322" max="13569" width="9.140625" style="1"/>
    <col min="13570" max="13570" width="8.28515625" style="1" customWidth="1"/>
    <col min="13571" max="13571" width="10.5703125" style="1" customWidth="1"/>
    <col min="13572" max="13572" width="15.140625" style="1" customWidth="1"/>
    <col min="13573" max="13574" width="12" style="1" customWidth="1"/>
    <col min="13575" max="13576" width="13.85546875" style="1" customWidth="1"/>
    <col min="13577" max="13577" width="51.5703125" style="1" customWidth="1"/>
    <col min="13578" max="13825" width="9.140625" style="1"/>
    <col min="13826" max="13826" width="8.28515625" style="1" customWidth="1"/>
    <col min="13827" max="13827" width="10.5703125" style="1" customWidth="1"/>
    <col min="13828" max="13828" width="15.140625" style="1" customWidth="1"/>
    <col min="13829" max="13830" width="12" style="1" customWidth="1"/>
    <col min="13831" max="13832" width="13.85546875" style="1" customWidth="1"/>
    <col min="13833" max="13833" width="51.5703125" style="1" customWidth="1"/>
    <col min="13834" max="14081" width="9.140625" style="1"/>
    <col min="14082" max="14082" width="8.28515625" style="1" customWidth="1"/>
    <col min="14083" max="14083" width="10.5703125" style="1" customWidth="1"/>
    <col min="14084" max="14084" width="15.140625" style="1" customWidth="1"/>
    <col min="14085" max="14086" width="12" style="1" customWidth="1"/>
    <col min="14087" max="14088" width="13.85546875" style="1" customWidth="1"/>
    <col min="14089" max="14089" width="51.5703125" style="1" customWidth="1"/>
    <col min="14090" max="14337" width="9.140625" style="1"/>
    <col min="14338" max="14338" width="8.28515625" style="1" customWidth="1"/>
    <col min="14339" max="14339" width="10.5703125" style="1" customWidth="1"/>
    <col min="14340" max="14340" width="15.140625" style="1" customWidth="1"/>
    <col min="14341" max="14342" width="12" style="1" customWidth="1"/>
    <col min="14343" max="14344" width="13.85546875" style="1" customWidth="1"/>
    <col min="14345" max="14345" width="51.5703125" style="1" customWidth="1"/>
    <col min="14346" max="14593" width="9.140625" style="1"/>
    <col min="14594" max="14594" width="8.28515625" style="1" customWidth="1"/>
    <col min="14595" max="14595" width="10.5703125" style="1" customWidth="1"/>
    <col min="14596" max="14596" width="15.140625" style="1" customWidth="1"/>
    <col min="14597" max="14598" width="12" style="1" customWidth="1"/>
    <col min="14599" max="14600" width="13.85546875" style="1" customWidth="1"/>
    <col min="14601" max="14601" width="51.5703125" style="1" customWidth="1"/>
    <col min="14602" max="14849" width="9.140625" style="1"/>
    <col min="14850" max="14850" width="8.28515625" style="1" customWidth="1"/>
    <col min="14851" max="14851" width="10.5703125" style="1" customWidth="1"/>
    <col min="14852" max="14852" width="15.140625" style="1" customWidth="1"/>
    <col min="14853" max="14854" width="12" style="1" customWidth="1"/>
    <col min="14855" max="14856" width="13.85546875" style="1" customWidth="1"/>
    <col min="14857" max="14857" width="51.5703125" style="1" customWidth="1"/>
    <col min="14858" max="15105" width="9.140625" style="1"/>
    <col min="15106" max="15106" width="8.28515625" style="1" customWidth="1"/>
    <col min="15107" max="15107" width="10.5703125" style="1" customWidth="1"/>
    <col min="15108" max="15108" width="15.140625" style="1" customWidth="1"/>
    <col min="15109" max="15110" width="12" style="1" customWidth="1"/>
    <col min="15111" max="15112" width="13.85546875" style="1" customWidth="1"/>
    <col min="15113" max="15113" width="51.5703125" style="1" customWidth="1"/>
    <col min="15114" max="15361" width="9.140625" style="1"/>
    <col min="15362" max="15362" width="8.28515625" style="1" customWidth="1"/>
    <col min="15363" max="15363" width="10.5703125" style="1" customWidth="1"/>
    <col min="15364" max="15364" width="15.140625" style="1" customWidth="1"/>
    <col min="15365" max="15366" width="12" style="1" customWidth="1"/>
    <col min="15367" max="15368" width="13.85546875" style="1" customWidth="1"/>
    <col min="15369" max="15369" width="51.5703125" style="1" customWidth="1"/>
    <col min="15370" max="15617" width="9.140625" style="1"/>
    <col min="15618" max="15618" width="8.28515625" style="1" customWidth="1"/>
    <col min="15619" max="15619" width="10.5703125" style="1" customWidth="1"/>
    <col min="15620" max="15620" width="15.140625" style="1" customWidth="1"/>
    <col min="15621" max="15622" width="12" style="1" customWidth="1"/>
    <col min="15623" max="15624" width="13.85546875" style="1" customWidth="1"/>
    <col min="15625" max="15625" width="51.5703125" style="1" customWidth="1"/>
    <col min="15626" max="15873" width="9.140625" style="1"/>
    <col min="15874" max="15874" width="8.28515625" style="1" customWidth="1"/>
    <col min="15875" max="15875" width="10.5703125" style="1" customWidth="1"/>
    <col min="15876" max="15876" width="15.140625" style="1" customWidth="1"/>
    <col min="15877" max="15878" width="12" style="1" customWidth="1"/>
    <col min="15879" max="15880" width="13.85546875" style="1" customWidth="1"/>
    <col min="15881" max="15881" width="51.5703125" style="1" customWidth="1"/>
    <col min="15882" max="16129" width="9.140625" style="1"/>
    <col min="16130" max="16130" width="8.28515625" style="1" customWidth="1"/>
    <col min="16131" max="16131" width="10.5703125" style="1" customWidth="1"/>
    <col min="16132" max="16132" width="15.140625" style="1" customWidth="1"/>
    <col min="16133" max="16134" width="12" style="1" customWidth="1"/>
    <col min="16135" max="16136" width="13.85546875" style="1" customWidth="1"/>
    <col min="16137" max="16137" width="51.5703125" style="1" customWidth="1"/>
    <col min="16138" max="16384" width="9.140625" style="1"/>
  </cols>
  <sheetData>
    <row r="1" spans="1:9" ht="56.25" customHeight="1">
      <c r="A1" s="30"/>
      <c r="B1" s="30"/>
      <c r="C1" s="35" t="s">
        <v>997</v>
      </c>
      <c r="D1" s="35"/>
      <c r="E1" s="34"/>
      <c r="F1" s="34"/>
      <c r="G1" s="34"/>
      <c r="H1" s="3204" t="s">
        <v>1230</v>
      </c>
      <c r="I1" s="3204"/>
    </row>
    <row r="2" spans="1:9" ht="45" customHeight="1">
      <c r="A2" s="3323" t="s">
        <v>998</v>
      </c>
      <c r="B2" s="3323"/>
      <c r="C2" s="3323"/>
      <c r="D2" s="3323"/>
      <c r="E2" s="3323"/>
      <c r="F2" s="3323"/>
      <c r="G2" s="3323"/>
      <c r="H2" s="3323"/>
      <c r="I2" s="3323"/>
    </row>
    <row r="3" spans="1:9" ht="15.75" thickBot="1">
      <c r="A3" s="342"/>
      <c r="B3" s="342"/>
      <c r="C3" s="342"/>
      <c r="D3" s="342"/>
      <c r="E3" s="342"/>
      <c r="F3" s="342"/>
      <c r="G3" s="342"/>
      <c r="H3" s="342"/>
      <c r="I3" s="5" t="s">
        <v>9</v>
      </c>
    </row>
    <row r="4" spans="1:9" ht="15.75" thickBot="1">
      <c r="A4" s="3324" t="s">
        <v>0</v>
      </c>
      <c r="B4" s="3324" t="s">
        <v>1</v>
      </c>
      <c r="C4" s="3328" t="s">
        <v>51</v>
      </c>
      <c r="D4" s="3325" t="s">
        <v>3</v>
      </c>
      <c r="E4" s="3332" t="s">
        <v>10</v>
      </c>
      <c r="F4" s="3330" t="s">
        <v>45</v>
      </c>
      <c r="G4" s="3332"/>
      <c r="H4" s="3332" t="s">
        <v>50</v>
      </c>
      <c r="I4" s="3324" t="s">
        <v>49</v>
      </c>
    </row>
    <row r="5" spans="1:9" ht="15.75" customHeight="1" thickBot="1">
      <c r="A5" s="3324"/>
      <c r="B5" s="3324"/>
      <c r="C5" s="3328"/>
      <c r="D5" s="3345"/>
      <c r="E5" s="3332"/>
      <c r="F5" s="3330" t="s">
        <v>8</v>
      </c>
      <c r="G5" s="3332" t="s">
        <v>7</v>
      </c>
      <c r="H5" s="3332"/>
      <c r="I5" s="3324"/>
    </row>
    <row r="6" spans="1:9" ht="15.75" customHeight="1" thickBot="1">
      <c r="A6" s="3324"/>
      <c r="B6" s="3324"/>
      <c r="C6" s="3328"/>
      <c r="D6" s="3346"/>
      <c r="E6" s="3332"/>
      <c r="F6" s="3330"/>
      <c r="G6" s="3332"/>
      <c r="H6" s="3332"/>
      <c r="I6" s="3324"/>
    </row>
    <row r="7" spans="1:9" ht="33.75" customHeight="1">
      <c r="A7" s="3340" t="s">
        <v>731</v>
      </c>
      <c r="B7" s="3342" t="s">
        <v>340</v>
      </c>
      <c r="C7" s="3342"/>
      <c r="D7" s="3342"/>
      <c r="E7" s="2209">
        <f>SUM(E8)</f>
        <v>295097</v>
      </c>
      <c r="F7" s="2209">
        <f>SUM(F8)</f>
        <v>295097</v>
      </c>
      <c r="G7" s="2209">
        <f>SUM(G8)</f>
        <v>0</v>
      </c>
      <c r="H7" s="2210"/>
      <c r="I7" s="2211"/>
    </row>
    <row r="8" spans="1:9" ht="106.5" customHeight="1" thickBot="1">
      <c r="A8" s="3341"/>
      <c r="B8" s="2212" t="s">
        <v>759</v>
      </c>
      <c r="C8" s="2213" t="s">
        <v>349</v>
      </c>
      <c r="D8" s="2213" t="s">
        <v>705</v>
      </c>
      <c r="E8" s="2214">
        <f>SUM(F8:G8)</f>
        <v>295097</v>
      </c>
      <c r="F8" s="2208">
        <v>295097</v>
      </c>
      <c r="G8" s="2208">
        <v>0</v>
      </c>
      <c r="H8" s="2215" t="s">
        <v>999</v>
      </c>
      <c r="I8" s="2216" t="s">
        <v>1000</v>
      </c>
    </row>
    <row r="9" spans="1:9" ht="23.25" customHeight="1" thickBot="1">
      <c r="A9" s="3343" t="s">
        <v>48</v>
      </c>
      <c r="B9" s="3343"/>
      <c r="C9" s="3344"/>
      <c r="D9" s="2217"/>
      <c r="E9" s="2218">
        <f>SUM(E7)</f>
        <v>295097</v>
      </c>
      <c r="F9" s="2218">
        <f>SUM(F7)</f>
        <v>295097</v>
      </c>
      <c r="G9" s="2219">
        <f>SUM(G7)</f>
        <v>0</v>
      </c>
      <c r="H9" s="28"/>
      <c r="I9" s="2220"/>
    </row>
    <row r="23" spans="5:5">
      <c r="E23" s="37"/>
    </row>
  </sheetData>
  <mergeCells count="15">
    <mergeCell ref="A7:A8"/>
    <mergeCell ref="B7:D7"/>
    <mergeCell ref="A9:C9"/>
    <mergeCell ref="H1:I1"/>
    <mergeCell ref="A2:I2"/>
    <mergeCell ref="A4:A6"/>
    <mergeCell ref="B4:B6"/>
    <mergeCell ref="C4:C6"/>
    <mergeCell ref="D4:D6"/>
    <mergeCell ref="E4:E6"/>
    <mergeCell ref="F4:G4"/>
    <mergeCell ref="H4:H6"/>
    <mergeCell ref="I4:I6"/>
    <mergeCell ref="F5:F6"/>
    <mergeCell ref="G5:G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23</vt:i4>
      </vt:variant>
    </vt:vector>
  </HeadingPairs>
  <TitlesOfParts>
    <vt:vector size="39" baseType="lpstr">
      <vt:lpstr>Tabela Nr 1</vt:lpstr>
      <vt:lpstr>Tabela Nr 2</vt:lpstr>
      <vt:lpstr>Tabela Nr 3</vt:lpstr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Załącznik Nr 7</vt:lpstr>
      <vt:lpstr> Załącznik Nr 8</vt:lpstr>
      <vt:lpstr>Załącznik Nr 9</vt:lpstr>
      <vt:lpstr>Zał Nr 10 adm.rząd.doch.</vt:lpstr>
      <vt:lpstr>Zał Nr 10 adm.rzad.wyd.</vt:lpstr>
      <vt:lpstr>Zał Nr 11</vt:lpstr>
      <vt:lpstr>Załącznik Nr 12</vt:lpstr>
      <vt:lpstr>' Załącznik Nr 8'!Obszar_wydruku</vt:lpstr>
      <vt:lpstr>'Tabela Nr 1'!Obszar_wydruku</vt:lpstr>
      <vt:lpstr>'Tabela Nr 2'!Obszar_wydruku</vt:lpstr>
      <vt:lpstr>'Tabela Nr 3'!Obszar_wydruku</vt:lpstr>
      <vt:lpstr>'Zał Nr 10 adm.rzad.wyd.'!Obszar_wydruku</vt:lpstr>
      <vt:lpstr>'Zał Nr 10 adm.rząd.doch.'!Obszar_wydruku</vt:lpstr>
      <vt:lpstr>'Zał Nr 11'!Obszar_wydruku</vt:lpstr>
      <vt:lpstr>'Załącznik Nr 1'!Obszar_wydruku</vt:lpstr>
      <vt:lpstr>'Załącznik Nr 12'!Obszar_wydruku</vt:lpstr>
      <vt:lpstr>'Załącznik Nr 2'!Obszar_wydruku</vt:lpstr>
      <vt:lpstr>'Załącznik Nr 3'!Obszar_wydruku</vt:lpstr>
      <vt:lpstr>'Załącznik Nr 4'!Obszar_wydruku</vt:lpstr>
      <vt:lpstr>'Załącznik Nr 5'!Obszar_wydruku</vt:lpstr>
      <vt:lpstr>'Załącznik Nr 6'!Obszar_wydruku</vt:lpstr>
      <vt:lpstr>'Załącznik Nr 7'!Obszar_wydruku</vt:lpstr>
      <vt:lpstr>'Załącznik Nr 9'!Obszar_wydruku</vt:lpstr>
      <vt:lpstr>'Tabela Nr 1'!Tytuły_wydruku</vt:lpstr>
      <vt:lpstr>'Tabela Nr 2'!Tytuły_wydruku</vt:lpstr>
      <vt:lpstr>'Tabela Nr 3'!Tytuły_wydruku</vt:lpstr>
      <vt:lpstr>'Zał Nr 10 adm.rzad.wyd.'!Tytuły_wydruku</vt:lpstr>
      <vt:lpstr>'Załącznik Nr 2'!Tytuły_wydruku</vt:lpstr>
      <vt:lpstr>'Załącznik Nr 3'!Tytuły_wydruku</vt:lpstr>
      <vt:lpstr>'Załącznik Nr 5'!Tytuły_wydruku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2019-02-08T09:29:14Z</dcterms:modified>
</cp:coreProperties>
</file>